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3.xml" ContentType="application/vnd.openxmlformats-officedocument.drawing+xml"/>
  <Override PartName="/xl/charts/chart17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18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19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20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21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22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7AA4E990-E4B9-483E-898D-D1C611FE2ADC}" xr6:coauthVersionLast="47" xr6:coauthVersionMax="47" xr10:uidLastSave="{00000000-0000-0000-0000-000000000000}"/>
  <bookViews>
    <workbookView xWindow="-108" yWindow="-108" windowWidth="23256" windowHeight="12456" tabRatio="855" activeTab="9" xr2:uid="{00000000-000D-0000-FFFF-FFFF00000000}"/>
  </bookViews>
  <sheets>
    <sheet name="Dashboard" sheetId="13" r:id="rId1"/>
    <sheet name="Assumptions" sheetId="12" r:id="rId2"/>
    <sheet name="AR &amp; AP" sheetId="22" r:id="rId3"/>
    <sheet name="Depreciation" sheetId="21" r:id="rId4"/>
    <sheet name="Payroll" sheetId="20" r:id="rId5"/>
    <sheet name="Loan Schedule" sheetId="19" r:id="rId6"/>
    <sheet name="Use of Proceeds" sheetId="6" r:id="rId7"/>
    <sheet name="Expense Sheet" sheetId="1" r:id="rId8"/>
    <sheet name="Revenue Forecasts" sheetId="2" r:id="rId9"/>
    <sheet name="Income Statement" sheetId="10" r:id="rId10"/>
    <sheet name="Balance Sheet" sheetId="3" r:id="rId11"/>
    <sheet name="Break Even Analysis" sheetId="5" r:id="rId12"/>
    <sheet name="Cash Flows" sheetId="4" r:id="rId13"/>
    <sheet name="Monthly Income Statement " sheetId="7" r:id="rId14"/>
    <sheet name="Monthly Balance Sheet" sheetId="8" r:id="rId15"/>
    <sheet name="Monthly Cash Flows" sheetId="9" r:id="rId16"/>
    <sheet name="Equity Valuations" sheetId="16" r:id="rId17"/>
    <sheet name="Sensitivity Analysis" sheetId="17" r:id="rId18"/>
    <sheet name="Ratio Analysis" sheetId="18" r:id="rId19"/>
    <sheet name="Graphs" sheetId="15" r:id="rId20"/>
    <sheet name="Financial Report" sheetId="25" state="hidden" r:id="rId21"/>
  </sheets>
  <definedNames>
    <definedName name="_xlnm._FilterDatabase" localSheetId="1" hidden="1">Assumptions!$A$2:$F$2</definedName>
    <definedName name="_xlnm._FilterDatabase" localSheetId="8" hidden="1">'Revenue Forecasts'!#REF!</definedName>
    <definedName name="TableAppendixSalesForecast" localSheetId="9">'Income Statement'!#REF!</definedName>
    <definedName name="TablePlanBodyStartupFunding" localSheetId="10">'Balance Sheet'!#REF!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6" l="1"/>
  <c r="B6" i="6"/>
  <c r="A5" i="6"/>
  <c r="B5" i="6"/>
  <c r="A13" i="6"/>
  <c r="B13" i="6"/>
  <c r="A14" i="6"/>
  <c r="B14" i="6"/>
  <c r="A15" i="6"/>
  <c r="B15" i="6"/>
  <c r="A16" i="6"/>
  <c r="B16" i="6"/>
  <c r="B14" i="2" l="1"/>
  <c r="B19" i="2" s="1"/>
  <c r="B20" i="2" s="1"/>
  <c r="B3" i="2" s="1"/>
  <c r="BJ6" i="2"/>
  <c r="BK6" i="2"/>
  <c r="BJ47" i="2"/>
  <c r="BK47" i="2"/>
  <c r="A45" i="2"/>
  <c r="F16" i="2"/>
  <c r="N33" i="2"/>
  <c r="N34" i="2" s="1"/>
  <c r="N4" i="2" s="1"/>
  <c r="B34" i="2"/>
  <c r="B4" i="2" s="1"/>
  <c r="C30" i="2"/>
  <c r="E30" i="2"/>
  <c r="F30" i="2"/>
  <c r="A34" i="2"/>
  <c r="A4" i="2" s="1"/>
  <c r="C16" i="2"/>
  <c r="B50" i="12"/>
  <c r="B6" i="20" s="1"/>
  <c r="E16" i="2"/>
  <c r="B3" i="20"/>
  <c r="N15" i="20"/>
  <c r="O15" i="20"/>
  <c r="P15" i="20"/>
  <c r="Q15" i="20"/>
  <c r="R15" i="20"/>
  <c r="S15" i="20"/>
  <c r="T15" i="20"/>
  <c r="U15" i="20"/>
  <c r="V15" i="20"/>
  <c r="W15" i="20"/>
  <c r="X15" i="20"/>
  <c r="Y15" i="20"/>
  <c r="N16" i="20"/>
  <c r="O16" i="20"/>
  <c r="P16" i="20"/>
  <c r="Q16" i="20"/>
  <c r="R16" i="20"/>
  <c r="S16" i="20"/>
  <c r="T16" i="20"/>
  <c r="U16" i="20"/>
  <c r="V16" i="20"/>
  <c r="W16" i="20"/>
  <c r="X16" i="20"/>
  <c r="Y16" i="20"/>
  <c r="N18" i="20"/>
  <c r="O18" i="20"/>
  <c r="P18" i="20"/>
  <c r="Q18" i="20"/>
  <c r="R18" i="20"/>
  <c r="S18" i="20"/>
  <c r="T18" i="20"/>
  <c r="U18" i="20"/>
  <c r="V18" i="20"/>
  <c r="W18" i="20"/>
  <c r="W30" i="20" s="1"/>
  <c r="X18" i="20"/>
  <c r="Y18" i="20"/>
  <c r="N19" i="20"/>
  <c r="O19" i="20"/>
  <c r="P19" i="20"/>
  <c r="Q19" i="20"/>
  <c r="R19" i="20"/>
  <c r="S19" i="20"/>
  <c r="T19" i="20"/>
  <c r="U19" i="20"/>
  <c r="V19" i="20"/>
  <c r="W19" i="20"/>
  <c r="X19" i="20"/>
  <c r="Y19" i="20"/>
  <c r="N20" i="20"/>
  <c r="O20" i="20"/>
  <c r="P20" i="20"/>
  <c r="Q20" i="20"/>
  <c r="R20" i="20"/>
  <c r="S20" i="20"/>
  <c r="T20" i="20"/>
  <c r="U20" i="20"/>
  <c r="V20" i="20"/>
  <c r="W20" i="20"/>
  <c r="X20" i="20"/>
  <c r="Y20" i="20"/>
  <c r="N21" i="20"/>
  <c r="O21" i="20"/>
  <c r="P21" i="20"/>
  <c r="Q21" i="20"/>
  <c r="R21" i="20"/>
  <c r="S21" i="20"/>
  <c r="T21" i="20"/>
  <c r="U21" i="20"/>
  <c r="V21" i="20"/>
  <c r="W21" i="20"/>
  <c r="X21" i="20"/>
  <c r="Y21" i="20"/>
  <c r="D4" i="12"/>
  <c r="E4" i="12" s="1"/>
  <c r="F4" i="12" s="1"/>
  <c r="Z18" i="20"/>
  <c r="AA18" i="20"/>
  <c r="AB18" i="20"/>
  <c r="AC18" i="20"/>
  <c r="AD18" i="20"/>
  <c r="AE18" i="20"/>
  <c r="AF18" i="20"/>
  <c r="AG18" i="20"/>
  <c r="AH18" i="20"/>
  <c r="AI18" i="20"/>
  <c r="AJ18" i="20"/>
  <c r="AK18" i="20"/>
  <c r="Z19" i="20"/>
  <c r="AA19" i="20"/>
  <c r="AB19" i="20"/>
  <c r="AC19" i="20"/>
  <c r="AD19" i="20"/>
  <c r="AE19" i="20"/>
  <c r="AF19" i="20"/>
  <c r="AG19" i="20"/>
  <c r="AH19" i="20"/>
  <c r="AI19" i="20"/>
  <c r="AJ19" i="20"/>
  <c r="AK19" i="20"/>
  <c r="Z20" i="20"/>
  <c r="AA20" i="20"/>
  <c r="AB20" i="20"/>
  <c r="AC20" i="20"/>
  <c r="AD20" i="20"/>
  <c r="AE20" i="20"/>
  <c r="AF20" i="20"/>
  <c r="AG20" i="20"/>
  <c r="AH20" i="20"/>
  <c r="AI20" i="20"/>
  <c r="AJ20" i="20"/>
  <c r="AK20" i="20"/>
  <c r="Z21" i="20"/>
  <c r="AA21" i="20"/>
  <c r="AB21" i="20"/>
  <c r="AC21" i="20"/>
  <c r="AD21" i="20"/>
  <c r="AE21" i="20"/>
  <c r="AF21" i="20"/>
  <c r="AG21" i="20"/>
  <c r="AH21" i="20"/>
  <c r="AI21" i="20"/>
  <c r="AJ21" i="20"/>
  <c r="AK21" i="20"/>
  <c r="AL18" i="20"/>
  <c r="AM18" i="20"/>
  <c r="AN18" i="20"/>
  <c r="AO18" i="20"/>
  <c r="AO30" i="20"/>
  <c r="AP18" i="20"/>
  <c r="AQ18" i="20"/>
  <c r="AR18" i="20"/>
  <c r="AS18" i="20"/>
  <c r="AT18" i="20"/>
  <c r="AU18" i="20"/>
  <c r="AV18" i="20"/>
  <c r="AW18" i="20"/>
  <c r="AL19" i="20"/>
  <c r="AM19" i="20"/>
  <c r="AN19" i="20"/>
  <c r="AO19" i="20"/>
  <c r="AP19" i="20"/>
  <c r="AQ19" i="20"/>
  <c r="AR19" i="20"/>
  <c r="AS19" i="20"/>
  <c r="AT19" i="20"/>
  <c r="AU19" i="20"/>
  <c r="AV19" i="20"/>
  <c r="AW19" i="20"/>
  <c r="AL20" i="20"/>
  <c r="AM20" i="20"/>
  <c r="AN20" i="20"/>
  <c r="AO20" i="20"/>
  <c r="AP20" i="20"/>
  <c r="AQ20" i="20"/>
  <c r="AR20" i="20"/>
  <c r="AS20" i="20"/>
  <c r="AT20" i="20"/>
  <c r="AU20" i="20"/>
  <c r="AV20" i="20"/>
  <c r="AW20" i="20"/>
  <c r="AL21" i="20"/>
  <c r="AM21" i="20"/>
  <c r="AN21" i="20"/>
  <c r="AO21" i="20"/>
  <c r="AP21" i="20"/>
  <c r="AQ21" i="20"/>
  <c r="AR21" i="20"/>
  <c r="AS21" i="20"/>
  <c r="AT21" i="20"/>
  <c r="AU21" i="20"/>
  <c r="AV21" i="20"/>
  <c r="AW21" i="20"/>
  <c r="AX18" i="20"/>
  <c r="AY18" i="20"/>
  <c r="AZ18" i="20"/>
  <c r="BA18" i="20"/>
  <c r="BB18" i="20"/>
  <c r="BC18" i="20"/>
  <c r="BD18" i="20"/>
  <c r="BE18" i="20"/>
  <c r="BF18" i="20"/>
  <c r="BG18" i="20"/>
  <c r="BH18" i="20"/>
  <c r="BI18" i="20"/>
  <c r="AX19" i="20"/>
  <c r="AY19" i="20"/>
  <c r="AZ19" i="20"/>
  <c r="BA19" i="20"/>
  <c r="BB19" i="20"/>
  <c r="BC19" i="20"/>
  <c r="BD19" i="20"/>
  <c r="BE19" i="20"/>
  <c r="BF19" i="20"/>
  <c r="BG19" i="20"/>
  <c r="BH19" i="20"/>
  <c r="BI19" i="20"/>
  <c r="AX20" i="20"/>
  <c r="AY20" i="20"/>
  <c r="AZ20" i="20"/>
  <c r="BA20" i="20"/>
  <c r="BB20" i="20"/>
  <c r="BC20" i="20"/>
  <c r="BD20" i="20"/>
  <c r="BE20" i="20"/>
  <c r="BF20" i="20"/>
  <c r="BG20" i="20"/>
  <c r="BH20" i="20"/>
  <c r="BI20" i="20"/>
  <c r="AX21" i="20"/>
  <c r="AY21" i="20"/>
  <c r="AZ21" i="20"/>
  <c r="BA21" i="20"/>
  <c r="BB21" i="20"/>
  <c r="BC21" i="20"/>
  <c r="BD21" i="20"/>
  <c r="BE21" i="20"/>
  <c r="BF21" i="20"/>
  <c r="BG21" i="20"/>
  <c r="BH21" i="20"/>
  <c r="BI21" i="20"/>
  <c r="B20" i="20"/>
  <c r="C20" i="20"/>
  <c r="D20" i="20"/>
  <c r="E20" i="20"/>
  <c r="F20" i="20"/>
  <c r="G20" i="20"/>
  <c r="H20" i="20"/>
  <c r="I20" i="20"/>
  <c r="J20" i="20"/>
  <c r="K20" i="20"/>
  <c r="L20" i="20"/>
  <c r="M20" i="20"/>
  <c r="B15" i="20"/>
  <c r="C15" i="20"/>
  <c r="D15" i="20"/>
  <c r="E15" i="20"/>
  <c r="F15" i="20"/>
  <c r="G15" i="20"/>
  <c r="H15" i="20"/>
  <c r="I15" i="20"/>
  <c r="J15" i="20"/>
  <c r="K15" i="20"/>
  <c r="L15" i="20"/>
  <c r="M15" i="20"/>
  <c r="B16" i="20"/>
  <c r="C16" i="20"/>
  <c r="D16" i="20"/>
  <c r="E16" i="20"/>
  <c r="F16" i="20"/>
  <c r="G16" i="20"/>
  <c r="H16" i="20"/>
  <c r="I16" i="20"/>
  <c r="J16" i="20"/>
  <c r="K16" i="20"/>
  <c r="L16" i="20"/>
  <c r="M16" i="20"/>
  <c r="B17" i="20"/>
  <c r="C17" i="20"/>
  <c r="D17" i="20"/>
  <c r="E17" i="20"/>
  <c r="F17" i="20"/>
  <c r="G17" i="20"/>
  <c r="H17" i="20"/>
  <c r="I17" i="20"/>
  <c r="J17" i="20"/>
  <c r="K17" i="20"/>
  <c r="L17" i="20"/>
  <c r="M17" i="20"/>
  <c r="B18" i="20"/>
  <c r="C18" i="20"/>
  <c r="D18" i="20"/>
  <c r="E18" i="20"/>
  <c r="F18" i="20"/>
  <c r="G18" i="20"/>
  <c r="H18" i="20"/>
  <c r="I18" i="20"/>
  <c r="J18" i="20"/>
  <c r="K18" i="20"/>
  <c r="L18" i="20"/>
  <c r="M18" i="20"/>
  <c r="B19" i="20"/>
  <c r="C19" i="20"/>
  <c r="D19" i="20"/>
  <c r="E19" i="20"/>
  <c r="F19" i="20"/>
  <c r="G19" i="20"/>
  <c r="H19" i="20"/>
  <c r="I19" i="20"/>
  <c r="J19" i="20"/>
  <c r="K19" i="20"/>
  <c r="L19" i="20"/>
  <c r="M19" i="20"/>
  <c r="B21" i="20"/>
  <c r="C21" i="20"/>
  <c r="D21" i="20"/>
  <c r="E21" i="20"/>
  <c r="F21" i="20"/>
  <c r="G21" i="20"/>
  <c r="H21" i="20"/>
  <c r="I21" i="20"/>
  <c r="J21" i="20"/>
  <c r="K21" i="20"/>
  <c r="L21" i="20"/>
  <c r="M21" i="20"/>
  <c r="A21" i="20"/>
  <c r="A33" i="20" s="1"/>
  <c r="A43" i="20" s="1"/>
  <c r="A9" i="20"/>
  <c r="B5" i="1"/>
  <c r="B6" i="1"/>
  <c r="B7" i="1"/>
  <c r="B12" i="7" s="1"/>
  <c r="B13" i="9" s="1"/>
  <c r="B9" i="1"/>
  <c r="C9" i="1" s="1"/>
  <c r="D9" i="1" s="1"/>
  <c r="B10" i="1"/>
  <c r="C10" i="1"/>
  <c r="D10" i="1" s="1"/>
  <c r="E10" i="1" s="1"/>
  <c r="B4" i="1"/>
  <c r="C4" i="1" s="1"/>
  <c r="D4" i="1" s="1"/>
  <c r="E4" i="1" s="1"/>
  <c r="F4" i="1" s="1"/>
  <c r="G4" i="1"/>
  <c r="B3" i="19"/>
  <c r="B4" i="19"/>
  <c r="C3" i="21"/>
  <c r="C13" i="21"/>
  <c r="C23" i="21" s="1"/>
  <c r="D13" i="21"/>
  <c r="E13" i="21"/>
  <c r="F13" i="21"/>
  <c r="G13" i="21"/>
  <c r="H13" i="21"/>
  <c r="I13" i="21"/>
  <c r="J13" i="21"/>
  <c r="J19" i="21" s="1"/>
  <c r="I18" i="9" s="1"/>
  <c r="K13" i="21"/>
  <c r="L13" i="21"/>
  <c r="M13" i="21"/>
  <c r="N13" i="21"/>
  <c r="O13" i="21"/>
  <c r="C4" i="21"/>
  <c r="C14" i="21"/>
  <c r="D14" i="21"/>
  <c r="E14" i="21"/>
  <c r="F14" i="21"/>
  <c r="G14" i="21"/>
  <c r="H14" i="21"/>
  <c r="I14" i="21"/>
  <c r="J14" i="21"/>
  <c r="K14" i="21"/>
  <c r="L14" i="21"/>
  <c r="M14" i="21"/>
  <c r="N14" i="21"/>
  <c r="O14" i="21"/>
  <c r="C5" i="21"/>
  <c r="C15" i="21"/>
  <c r="D15" i="21"/>
  <c r="E15" i="21"/>
  <c r="F15" i="21"/>
  <c r="G15" i="21"/>
  <c r="H15" i="21"/>
  <c r="I15" i="21"/>
  <c r="J15" i="21"/>
  <c r="K15" i="21"/>
  <c r="L15" i="21"/>
  <c r="M15" i="21"/>
  <c r="N15" i="21"/>
  <c r="O15" i="21"/>
  <c r="C6" i="21"/>
  <c r="D6" i="21" s="1"/>
  <c r="E6" i="21" s="1"/>
  <c r="F6" i="21" s="1"/>
  <c r="G6" i="21" s="1"/>
  <c r="H6" i="21" s="1"/>
  <c r="I6" i="21" s="1"/>
  <c r="J6" i="21" s="1"/>
  <c r="K6" i="21" s="1"/>
  <c r="L6" i="21" s="1"/>
  <c r="M6" i="21" s="1"/>
  <c r="N6" i="21" s="1"/>
  <c r="O6" i="21" s="1"/>
  <c r="P6" i="21" s="1"/>
  <c r="Q6" i="21" s="1"/>
  <c r="R6" i="21" s="1"/>
  <c r="S6" i="21" s="1"/>
  <c r="T6" i="21" s="1"/>
  <c r="U6" i="21" s="1"/>
  <c r="V6" i="21" s="1"/>
  <c r="W6" i="21" s="1"/>
  <c r="X6" i="21" s="1"/>
  <c r="Y6" i="21" s="1"/>
  <c r="Z6" i="21" s="1"/>
  <c r="AA6" i="21" s="1"/>
  <c r="AB6" i="21" s="1"/>
  <c r="AC6" i="21" s="1"/>
  <c r="AD6" i="21" s="1"/>
  <c r="AE6" i="21" s="1"/>
  <c r="AF6" i="21" s="1"/>
  <c r="AG6" i="21" s="1"/>
  <c r="AH6" i="21" s="1"/>
  <c r="AI6" i="21" s="1"/>
  <c r="AJ6" i="21" s="1"/>
  <c r="AK6" i="21" s="1"/>
  <c r="AL6" i="21" s="1"/>
  <c r="AM6" i="21" s="1"/>
  <c r="AN6" i="21" s="1"/>
  <c r="AO6" i="21" s="1"/>
  <c r="AP6" i="21" s="1"/>
  <c r="AQ6" i="21" s="1"/>
  <c r="AR6" i="21" s="1"/>
  <c r="AS6" i="21" s="1"/>
  <c r="AT6" i="21" s="1"/>
  <c r="AU6" i="21" s="1"/>
  <c r="AV6" i="21" s="1"/>
  <c r="AW6" i="21" s="1"/>
  <c r="AX6" i="21" s="1"/>
  <c r="AY6" i="21" s="1"/>
  <c r="AZ6" i="21" s="1"/>
  <c r="BA6" i="21" s="1"/>
  <c r="BB6" i="21" s="1"/>
  <c r="BC6" i="21" s="1"/>
  <c r="BD6" i="21" s="1"/>
  <c r="BE6" i="21" s="1"/>
  <c r="BF6" i="21" s="1"/>
  <c r="BG6" i="21" s="1"/>
  <c r="BH6" i="21" s="1"/>
  <c r="BI6" i="21" s="1"/>
  <c r="BJ6" i="21" s="1"/>
  <c r="C16" i="21"/>
  <c r="D16" i="21"/>
  <c r="E16" i="21"/>
  <c r="F16" i="21"/>
  <c r="G16" i="21"/>
  <c r="H16" i="21"/>
  <c r="I16" i="21"/>
  <c r="J16" i="21"/>
  <c r="K16" i="21"/>
  <c r="L16" i="21"/>
  <c r="M16" i="21"/>
  <c r="N16" i="21"/>
  <c r="O16" i="21"/>
  <c r="C7" i="21"/>
  <c r="C27" i="21" s="1"/>
  <c r="C17" i="21"/>
  <c r="D17" i="21"/>
  <c r="E17" i="21"/>
  <c r="F17" i="21"/>
  <c r="G17" i="21"/>
  <c r="H17" i="21"/>
  <c r="I17" i="21"/>
  <c r="J17" i="21"/>
  <c r="K17" i="21"/>
  <c r="L17" i="21"/>
  <c r="M17" i="21"/>
  <c r="N17" i="21"/>
  <c r="O17" i="21"/>
  <c r="P13" i="21"/>
  <c r="P14" i="21"/>
  <c r="P15" i="21"/>
  <c r="P16" i="21"/>
  <c r="P17" i="21"/>
  <c r="Q13" i="21"/>
  <c r="Q14" i="21"/>
  <c r="Q15" i="21"/>
  <c r="Q16" i="21"/>
  <c r="Q17" i="21"/>
  <c r="R13" i="21"/>
  <c r="R14" i="21"/>
  <c r="R15" i="21"/>
  <c r="R16" i="21"/>
  <c r="R17" i="21"/>
  <c r="S13" i="21"/>
  <c r="S14" i="21"/>
  <c r="S15" i="21"/>
  <c r="S16" i="21"/>
  <c r="S17" i="21"/>
  <c r="T13" i="21"/>
  <c r="T14" i="21"/>
  <c r="T15" i="21"/>
  <c r="T16" i="21"/>
  <c r="T17" i="21"/>
  <c r="U13" i="21"/>
  <c r="U14" i="21"/>
  <c r="U15" i="21"/>
  <c r="U16" i="21"/>
  <c r="U17" i="21"/>
  <c r="V13" i="21"/>
  <c r="V14" i="21"/>
  <c r="V15" i="21"/>
  <c r="V16" i="21"/>
  <c r="V17" i="21"/>
  <c r="W13" i="21"/>
  <c r="W14" i="21"/>
  <c r="W15" i="21"/>
  <c r="W16" i="21"/>
  <c r="W17" i="21"/>
  <c r="X13" i="21"/>
  <c r="X14" i="21"/>
  <c r="X15" i="21"/>
  <c r="X16" i="21"/>
  <c r="X17" i="21"/>
  <c r="Y13" i="21"/>
  <c r="Y14" i="21"/>
  <c r="Y15" i="21"/>
  <c r="Y16" i="21"/>
  <c r="Y17" i="21"/>
  <c r="Z13" i="21"/>
  <c r="Z14" i="21"/>
  <c r="Z15" i="21"/>
  <c r="Z16" i="21"/>
  <c r="Z17" i="21"/>
  <c r="D7" i="12"/>
  <c r="E7" i="12" s="1"/>
  <c r="F7" i="12" s="1"/>
  <c r="D5" i="12"/>
  <c r="E5" i="12" s="1"/>
  <c r="F5" i="12" s="1"/>
  <c r="AA13" i="21"/>
  <c r="AA14" i="21"/>
  <c r="AA15" i="21"/>
  <c r="AA16" i="21"/>
  <c r="AA17" i="21"/>
  <c r="AB13" i="21"/>
  <c r="AB14" i="21"/>
  <c r="AB15" i="21"/>
  <c r="AB16" i="21"/>
  <c r="AB17" i="21"/>
  <c r="AC13" i="21"/>
  <c r="AC14" i="21"/>
  <c r="AC15" i="21"/>
  <c r="AC16" i="21"/>
  <c r="AC17" i="21"/>
  <c r="AD13" i="21"/>
  <c r="AD14" i="21"/>
  <c r="AD15" i="21"/>
  <c r="AD16" i="21"/>
  <c r="AD17" i="21"/>
  <c r="AE13" i="21"/>
  <c r="AE14" i="21"/>
  <c r="AE15" i="21"/>
  <c r="AE16" i="21"/>
  <c r="AE17" i="21"/>
  <c r="AF13" i="21"/>
  <c r="AF14" i="21"/>
  <c r="AF15" i="21"/>
  <c r="AF16" i="21"/>
  <c r="AF17" i="21"/>
  <c r="AG13" i="21"/>
  <c r="AG14" i="21"/>
  <c r="AG15" i="21"/>
  <c r="AG16" i="21"/>
  <c r="AG17" i="21"/>
  <c r="AG19" i="21" s="1"/>
  <c r="AF18" i="9" s="1"/>
  <c r="AH13" i="21"/>
  <c r="AH14" i="21"/>
  <c r="AH15" i="21"/>
  <c r="AH16" i="21"/>
  <c r="AH17" i="21"/>
  <c r="AI13" i="21"/>
  <c r="AI14" i="21"/>
  <c r="AI15" i="21"/>
  <c r="AI16" i="21"/>
  <c r="AI17" i="21"/>
  <c r="AJ13" i="21"/>
  <c r="AJ19" i="21" s="1"/>
  <c r="AI18" i="9" s="1"/>
  <c r="AJ14" i="21"/>
  <c r="AJ15" i="21"/>
  <c r="AJ16" i="21"/>
  <c r="AJ17" i="21"/>
  <c r="AK13" i="21"/>
  <c r="AK14" i="21"/>
  <c r="AK15" i="21"/>
  <c r="AK16" i="21"/>
  <c r="AK17" i="21"/>
  <c r="AL13" i="21"/>
  <c r="AL14" i="21"/>
  <c r="AL15" i="21"/>
  <c r="AL16" i="21"/>
  <c r="AL17" i="21"/>
  <c r="AM13" i="21"/>
  <c r="AM14" i="21"/>
  <c r="AM15" i="21"/>
  <c r="AM16" i="21"/>
  <c r="AM17" i="21"/>
  <c r="AN13" i="21"/>
  <c r="AN14" i="21"/>
  <c r="AN15" i="21"/>
  <c r="AN16" i="21"/>
  <c r="AN17" i="21"/>
  <c r="AO13" i="21"/>
  <c r="AO14" i="21"/>
  <c r="AO15" i="21"/>
  <c r="AO16" i="21"/>
  <c r="AO17" i="21"/>
  <c r="AP13" i="21"/>
  <c r="AP14" i="21"/>
  <c r="AP19" i="21" s="1"/>
  <c r="AO18" i="9" s="1"/>
  <c r="AP15" i="21"/>
  <c r="AP16" i="21"/>
  <c r="AP17" i="21"/>
  <c r="AQ13" i="21"/>
  <c r="AQ14" i="21"/>
  <c r="AQ19" i="21" s="1"/>
  <c r="AP18" i="9" s="1"/>
  <c r="AQ15" i="21"/>
  <c r="AQ16" i="21"/>
  <c r="AQ17" i="21"/>
  <c r="AR13" i="21"/>
  <c r="AR19" i="21" s="1"/>
  <c r="AQ18" i="9" s="1"/>
  <c r="AR14" i="21"/>
  <c r="AR15" i="21"/>
  <c r="AR16" i="21"/>
  <c r="AR17" i="21"/>
  <c r="AS13" i="21"/>
  <c r="AS14" i="21"/>
  <c r="AS15" i="21"/>
  <c r="AS16" i="21"/>
  <c r="AS17" i="21"/>
  <c r="AT13" i="21"/>
  <c r="AT14" i="21"/>
  <c r="AT15" i="21"/>
  <c r="AT16" i="21"/>
  <c r="AT17" i="21"/>
  <c r="AU13" i="21"/>
  <c r="AU14" i="21"/>
  <c r="AU15" i="21"/>
  <c r="AU16" i="21"/>
  <c r="AU17" i="21"/>
  <c r="AV13" i="21"/>
  <c r="AV14" i="21"/>
  <c r="AV15" i="21"/>
  <c r="AV16" i="21"/>
  <c r="AV17" i="21"/>
  <c r="AW13" i="21"/>
  <c r="AW14" i="21"/>
  <c r="AW15" i="21"/>
  <c r="AW16" i="21"/>
  <c r="AW17" i="21"/>
  <c r="AX13" i="21"/>
  <c r="AX14" i="21"/>
  <c r="AX15" i="21"/>
  <c r="AX16" i="21"/>
  <c r="AX17" i="21"/>
  <c r="AY13" i="21"/>
  <c r="AY14" i="21"/>
  <c r="AY15" i="21"/>
  <c r="AY16" i="21"/>
  <c r="AY17" i="21"/>
  <c r="AZ13" i="21"/>
  <c r="AZ14" i="21"/>
  <c r="AZ15" i="21"/>
  <c r="AZ16" i="21"/>
  <c r="AZ17" i="21"/>
  <c r="BA13" i="21"/>
  <c r="BA14" i="21"/>
  <c r="BA15" i="21"/>
  <c r="BA16" i="21"/>
  <c r="BA17" i="21"/>
  <c r="BB13" i="21"/>
  <c r="BB14" i="21"/>
  <c r="BB15" i="21"/>
  <c r="BB16" i="21"/>
  <c r="BB17" i="21"/>
  <c r="BC13" i="21"/>
  <c r="BC14" i="21"/>
  <c r="BC15" i="21"/>
  <c r="BC16" i="21"/>
  <c r="BC17" i="21"/>
  <c r="BD13" i="21"/>
  <c r="BD14" i="21"/>
  <c r="BD15" i="21"/>
  <c r="BD16" i="21"/>
  <c r="BD17" i="21"/>
  <c r="BE13" i="21"/>
  <c r="BE14" i="21"/>
  <c r="BE15" i="21"/>
  <c r="BE16" i="21"/>
  <c r="BE17" i="21"/>
  <c r="BF13" i="21"/>
  <c r="BF14" i="21"/>
  <c r="BF15" i="21"/>
  <c r="BF16" i="21"/>
  <c r="BF17" i="21"/>
  <c r="BG13" i="21"/>
  <c r="BG14" i="21"/>
  <c r="BG15" i="21"/>
  <c r="BG16" i="21"/>
  <c r="BG17" i="21"/>
  <c r="BH13" i="21"/>
  <c r="BH14" i="21"/>
  <c r="BH15" i="21"/>
  <c r="BH16" i="21"/>
  <c r="BH17" i="21"/>
  <c r="BI13" i="21"/>
  <c r="BI14" i="21"/>
  <c r="BI15" i="21"/>
  <c r="BI16" i="21"/>
  <c r="BI17" i="21"/>
  <c r="BI19" i="21" s="1"/>
  <c r="BH18" i="9" s="1"/>
  <c r="BJ13" i="21"/>
  <c r="BJ14" i="21"/>
  <c r="BJ15" i="21"/>
  <c r="BJ16" i="21"/>
  <c r="BJ17" i="21"/>
  <c r="B14" i="7"/>
  <c r="B15" i="7"/>
  <c r="C9" i="7"/>
  <c r="C14" i="7"/>
  <c r="C15" i="9" s="1"/>
  <c r="C15" i="7"/>
  <c r="C16" i="9" s="1"/>
  <c r="D15" i="7"/>
  <c r="D16" i="9" s="1"/>
  <c r="E9" i="7"/>
  <c r="F9" i="7"/>
  <c r="F10" i="9" s="1"/>
  <c r="A5" i="17"/>
  <c r="P19" i="21"/>
  <c r="O18" i="9" s="1"/>
  <c r="AD19" i="21"/>
  <c r="AC18" i="9" s="1"/>
  <c r="C10" i="9"/>
  <c r="E10" i="9"/>
  <c r="M19" i="21"/>
  <c r="L18" i="9" s="1"/>
  <c r="A20" i="4"/>
  <c r="A5" i="10"/>
  <c r="A6" i="17" s="1"/>
  <c r="A4" i="10"/>
  <c r="B52" i="12"/>
  <c r="B8" i="20" s="1"/>
  <c r="AD32" i="20" s="1"/>
  <c r="B53" i="12"/>
  <c r="B9" i="20" s="1"/>
  <c r="B51" i="12"/>
  <c r="B7" i="20" s="1"/>
  <c r="B49" i="12"/>
  <c r="B5" i="20" s="1"/>
  <c r="B48" i="12"/>
  <c r="B4" i="20" s="1"/>
  <c r="R28" i="20" s="1"/>
  <c r="A41" i="2"/>
  <c r="A42" i="2"/>
  <c r="A43" i="2"/>
  <c r="A44" i="2"/>
  <c r="A40" i="2"/>
  <c r="A39" i="2"/>
  <c r="B85" i="12"/>
  <c r="B86" i="12" s="1"/>
  <c r="BJ7" i="22"/>
  <c r="A3" i="2"/>
  <c r="A20" i="2"/>
  <c r="B8" i="12"/>
  <c r="E48" i="12"/>
  <c r="AK16" i="20" s="1"/>
  <c r="F48" i="12"/>
  <c r="G48" i="12" s="1"/>
  <c r="D49" i="12"/>
  <c r="A12" i="6"/>
  <c r="B12" i="6"/>
  <c r="B19" i="6" s="1"/>
  <c r="B60" i="12"/>
  <c r="B2" i="19" s="1"/>
  <c r="B9" i="19" s="1"/>
  <c r="B17" i="19" s="1"/>
  <c r="E47" i="12"/>
  <c r="F47" i="12" s="1"/>
  <c r="E6" i="12"/>
  <c r="F6" i="12" s="1"/>
  <c r="B9" i="6"/>
  <c r="C15" i="12"/>
  <c r="A4" i="1"/>
  <c r="A18" i="1" s="1"/>
  <c r="A9" i="7"/>
  <c r="A10" i="9"/>
  <c r="A10" i="4"/>
  <c r="B76" i="12"/>
  <c r="B3" i="22"/>
  <c r="A15" i="20"/>
  <c r="A27" i="20" s="1"/>
  <c r="A37" i="20" s="1"/>
  <c r="A3" i="20"/>
  <c r="A5" i="1"/>
  <c r="A10" i="10" s="1"/>
  <c r="A11" i="17" s="1"/>
  <c r="A6" i="1"/>
  <c r="A11" i="7" s="1"/>
  <c r="A12" i="9" s="1"/>
  <c r="A12" i="4" s="1"/>
  <c r="A7" i="1"/>
  <c r="A8" i="1"/>
  <c r="A22" i="1" s="1"/>
  <c r="A13" i="10"/>
  <c r="A14" i="17" s="1"/>
  <c r="A9" i="1"/>
  <c r="A14" i="7" s="1"/>
  <c r="A15" i="9" s="1"/>
  <c r="A15" i="4" s="1"/>
  <c r="A14" i="10"/>
  <c r="A15" i="17" s="1"/>
  <c r="A10" i="1"/>
  <c r="A15" i="10"/>
  <c r="A16" i="17" s="1"/>
  <c r="A16" i="20"/>
  <c r="A28" i="20" s="1"/>
  <c r="A38" i="20" s="1"/>
  <c r="A17" i="20"/>
  <c r="A29" i="20"/>
  <c r="A39" i="20" s="1"/>
  <c r="A18" i="20"/>
  <c r="A30" i="20"/>
  <c r="A40" i="20"/>
  <c r="A19" i="20"/>
  <c r="A31" i="20" s="1"/>
  <c r="A41" i="20" s="1"/>
  <c r="A20" i="20"/>
  <c r="A32" i="20"/>
  <c r="A42" i="20" s="1"/>
  <c r="A4" i="20"/>
  <c r="A5" i="20"/>
  <c r="A6" i="20"/>
  <c r="A7" i="20"/>
  <c r="A8" i="20"/>
  <c r="A30" i="12"/>
  <c r="B5" i="21" s="1"/>
  <c r="B15" i="21" s="1"/>
  <c r="B25" i="21" s="1"/>
  <c r="B35" i="21" s="1"/>
  <c r="B45" i="21" s="1"/>
  <c r="B55" i="21" s="1"/>
  <c r="A6" i="8" s="1"/>
  <c r="A6" i="3" s="1"/>
  <c r="A29" i="12"/>
  <c r="B4" i="21"/>
  <c r="B14" i="21" s="1"/>
  <c r="B24" i="21" s="1"/>
  <c r="B34" i="21" s="1"/>
  <c r="B44" i="21"/>
  <c r="B54" i="21" s="1"/>
  <c r="A5" i="8" s="1"/>
  <c r="A5" i="3" s="1"/>
  <c r="A31" i="12"/>
  <c r="B6" i="21" s="1"/>
  <c r="B16" i="21" s="1"/>
  <c r="B26" i="21" s="1"/>
  <c r="B36" i="21" s="1"/>
  <c r="B46" i="21" s="1"/>
  <c r="B56" i="21" s="1"/>
  <c r="A3" i="7"/>
  <c r="A32" i="12"/>
  <c r="B7" i="21" s="1"/>
  <c r="B17" i="21" s="1"/>
  <c r="B27" i="21" s="1"/>
  <c r="B37" i="21" s="1"/>
  <c r="B47" i="21" s="1"/>
  <c r="C55" i="12"/>
  <c r="A28" i="12"/>
  <c r="B3" i="21" s="1"/>
  <c r="B13" i="21" s="1"/>
  <c r="B23" i="21" s="1"/>
  <c r="B33" i="21" s="1"/>
  <c r="B43" i="21" s="1"/>
  <c r="B53" i="21" s="1"/>
  <c r="A4" i="8" s="1"/>
  <c r="A4" i="3" s="1"/>
  <c r="I22" i="25"/>
  <c r="A22" i="25"/>
  <c r="I21" i="25"/>
  <c r="A21" i="25"/>
  <c r="I20" i="25"/>
  <c r="A20" i="25"/>
  <c r="I19" i="25"/>
  <c r="A19" i="25"/>
  <c r="I18" i="25"/>
  <c r="A18" i="25"/>
  <c r="I15" i="25"/>
  <c r="A15" i="25"/>
  <c r="I14" i="25"/>
  <c r="A14" i="25"/>
  <c r="I13" i="25"/>
  <c r="A13" i="25"/>
  <c r="I12" i="25"/>
  <c r="A12" i="25"/>
  <c r="I11" i="25"/>
  <c r="A11" i="25"/>
  <c r="I8" i="25"/>
  <c r="A8" i="25"/>
  <c r="I7" i="25"/>
  <c r="A7" i="25"/>
  <c r="I6" i="25"/>
  <c r="A6" i="25"/>
  <c r="I5" i="25"/>
  <c r="A5" i="25"/>
  <c r="I4" i="25"/>
  <c r="A4" i="25"/>
  <c r="A25" i="17"/>
  <c r="A21" i="17"/>
  <c r="A8" i="17"/>
  <c r="E19" i="16"/>
  <c r="F19" i="16"/>
  <c r="G19" i="16"/>
  <c r="H19" i="16" s="1"/>
  <c r="B10" i="16"/>
  <c r="A27" i="9"/>
  <c r="A26" i="9"/>
  <c r="A24" i="9"/>
  <c r="A22" i="9"/>
  <c r="A17" i="9"/>
  <c r="A17" i="4" s="1"/>
  <c r="A8" i="9"/>
  <c r="A6" i="9"/>
  <c r="A3" i="9"/>
  <c r="A25" i="7"/>
  <c r="A25" i="10" s="1"/>
  <c r="A18" i="17" s="1"/>
  <c r="A21" i="7"/>
  <c r="A21" i="10" s="1"/>
  <c r="A17" i="17" s="1"/>
  <c r="A8" i="7"/>
  <c r="A9" i="9"/>
  <c r="A9" i="4"/>
  <c r="A19" i="4"/>
  <c r="A18" i="4"/>
  <c r="F5" i="4"/>
  <c r="E5" i="4"/>
  <c r="D5" i="4"/>
  <c r="C5" i="4"/>
  <c r="A5" i="4"/>
  <c r="A25" i="3"/>
  <c r="A24" i="3"/>
  <c r="A22" i="3"/>
  <c r="A21" i="3"/>
  <c r="A20" i="3"/>
  <c r="A19" i="3"/>
  <c r="A18" i="3"/>
  <c r="A17" i="3"/>
  <c r="A16" i="3"/>
  <c r="A15" i="3"/>
  <c r="A14" i="3"/>
  <c r="A11" i="3"/>
  <c r="A10" i="3"/>
  <c r="A9" i="3"/>
  <c r="A31" i="10"/>
  <c r="A23" i="17" s="1"/>
  <c r="A29" i="10"/>
  <c r="A19" i="17" s="1"/>
  <c r="A27" i="10"/>
  <c r="A23" i="10"/>
  <c r="A19" i="10"/>
  <c r="A8" i="10"/>
  <c r="A9" i="17" s="1"/>
  <c r="A4" i="17"/>
  <c r="A26" i="1"/>
  <c r="A25" i="1"/>
  <c r="A17" i="1"/>
  <c r="B4" i="6"/>
  <c r="A4" i="6"/>
  <c r="C8" i="21"/>
  <c r="D8" i="21" s="1"/>
  <c r="E8" i="21" s="1"/>
  <c r="F8" i="21" s="1"/>
  <c r="G8" i="21" s="1"/>
  <c r="H8" i="21" s="1"/>
  <c r="I8" i="21" s="1"/>
  <c r="J8" i="21" s="1"/>
  <c r="K8" i="21" s="1"/>
  <c r="L8" i="21" s="1"/>
  <c r="M8" i="21" s="1"/>
  <c r="N8" i="21" s="1"/>
  <c r="O8" i="21" s="1"/>
  <c r="P8" i="21" s="1"/>
  <c r="Q8" i="21" s="1"/>
  <c r="R8" i="21" s="1"/>
  <c r="S8" i="21" s="1"/>
  <c r="T8" i="21" s="1"/>
  <c r="U8" i="21" s="1"/>
  <c r="V8" i="21" s="1"/>
  <c r="W8" i="21" s="1"/>
  <c r="X8" i="21" s="1"/>
  <c r="Y8" i="21" s="1"/>
  <c r="Z8" i="21" s="1"/>
  <c r="AA8" i="21" s="1"/>
  <c r="AB8" i="21" s="1"/>
  <c r="AC8" i="21" s="1"/>
  <c r="AD8" i="21" s="1"/>
  <c r="AE8" i="21" s="1"/>
  <c r="AF8" i="21" s="1"/>
  <c r="AG8" i="21" s="1"/>
  <c r="AH8" i="21" s="1"/>
  <c r="AI8" i="21" s="1"/>
  <c r="AJ8" i="21" s="1"/>
  <c r="AK8" i="21" s="1"/>
  <c r="AL8" i="21" s="1"/>
  <c r="AM8" i="21" s="1"/>
  <c r="AN8" i="21" s="1"/>
  <c r="AO8" i="21" s="1"/>
  <c r="AP8" i="21" s="1"/>
  <c r="AQ8" i="21" s="1"/>
  <c r="AR8" i="21" s="1"/>
  <c r="AS8" i="21" s="1"/>
  <c r="AT8" i="21" s="1"/>
  <c r="AU8" i="21" s="1"/>
  <c r="AV8" i="21" s="1"/>
  <c r="AW8" i="21" s="1"/>
  <c r="AX8" i="21" s="1"/>
  <c r="AY8" i="21" s="1"/>
  <c r="AZ8" i="21" s="1"/>
  <c r="BA8" i="21" s="1"/>
  <c r="BB8" i="21" s="1"/>
  <c r="BC8" i="21" s="1"/>
  <c r="BD8" i="21" s="1"/>
  <c r="BE8" i="21" s="1"/>
  <c r="BF8" i="21" s="1"/>
  <c r="BG8" i="21" s="1"/>
  <c r="BH8" i="21" s="1"/>
  <c r="BI8" i="21" s="1"/>
  <c r="BJ8" i="21" s="1"/>
  <c r="D7" i="21"/>
  <c r="E7" i="21"/>
  <c r="F7" i="21" s="1"/>
  <c r="G7" i="21" s="1"/>
  <c r="H7" i="21" s="1"/>
  <c r="I7" i="21" s="1"/>
  <c r="J7" i="21" s="1"/>
  <c r="K7" i="21" s="1"/>
  <c r="L7" i="21" s="1"/>
  <c r="M7" i="21" s="1"/>
  <c r="N7" i="21" s="1"/>
  <c r="O7" i="21" s="1"/>
  <c r="P7" i="21" s="1"/>
  <c r="Q7" i="21" s="1"/>
  <c r="R7" i="21" s="1"/>
  <c r="S7" i="21" s="1"/>
  <c r="T7" i="21" s="1"/>
  <c r="U7" i="21" s="1"/>
  <c r="V7" i="21" s="1"/>
  <c r="W7" i="21" s="1"/>
  <c r="X7" i="21" s="1"/>
  <c r="Y7" i="21" s="1"/>
  <c r="Z7" i="21" s="1"/>
  <c r="AA7" i="21" s="1"/>
  <c r="AB7" i="21" s="1"/>
  <c r="AC7" i="21" s="1"/>
  <c r="AD7" i="21" s="1"/>
  <c r="AE7" i="21" s="1"/>
  <c r="AF7" i="21" s="1"/>
  <c r="AG7" i="21" s="1"/>
  <c r="AH7" i="21" s="1"/>
  <c r="AI7" i="21" s="1"/>
  <c r="AJ7" i="21" s="1"/>
  <c r="AK7" i="21" s="1"/>
  <c r="AL7" i="21" s="1"/>
  <c r="AM7" i="21" s="1"/>
  <c r="AN7" i="21" s="1"/>
  <c r="AO7" i="21" s="1"/>
  <c r="AP7" i="21" s="1"/>
  <c r="AQ7" i="21" s="1"/>
  <c r="AR7" i="21" s="1"/>
  <c r="AS7" i="21" s="1"/>
  <c r="AT7" i="21" s="1"/>
  <c r="AU7" i="21" s="1"/>
  <c r="AV7" i="21" s="1"/>
  <c r="AW7" i="21" s="1"/>
  <c r="AX7" i="21" s="1"/>
  <c r="AY7" i="21" s="1"/>
  <c r="AZ7" i="21" s="1"/>
  <c r="BA7" i="21" s="1"/>
  <c r="BB7" i="21" s="1"/>
  <c r="BC7" i="21" s="1"/>
  <c r="BD7" i="21" s="1"/>
  <c r="BE7" i="21" s="1"/>
  <c r="BF7" i="21" s="1"/>
  <c r="BG7" i="21" s="1"/>
  <c r="BH7" i="21" s="1"/>
  <c r="BI7" i="21" s="1"/>
  <c r="BJ7" i="21" s="1"/>
  <c r="B26" i="6"/>
  <c r="B20" i="8" s="1"/>
  <c r="C20" i="8" s="1"/>
  <c r="D20" i="8" s="1"/>
  <c r="B25" i="6"/>
  <c r="D5" i="21"/>
  <c r="E5" i="21" s="1"/>
  <c r="F5" i="21" s="1"/>
  <c r="G5" i="21" s="1"/>
  <c r="H5" i="21" s="1"/>
  <c r="I5" i="21" s="1"/>
  <c r="J5" i="21" s="1"/>
  <c r="K5" i="21" s="1"/>
  <c r="L5" i="21" s="1"/>
  <c r="M5" i="21" s="1"/>
  <c r="N5" i="21" s="1"/>
  <c r="O5" i="21" s="1"/>
  <c r="P5" i="21" s="1"/>
  <c r="Q5" i="21" s="1"/>
  <c r="R5" i="21" s="1"/>
  <c r="S5" i="21" s="1"/>
  <c r="T5" i="21" s="1"/>
  <c r="U5" i="21" s="1"/>
  <c r="V5" i="21" s="1"/>
  <c r="W5" i="21" s="1"/>
  <c r="X5" i="21" s="1"/>
  <c r="Y5" i="21" s="1"/>
  <c r="Z5" i="21" s="1"/>
  <c r="AA5" i="21" s="1"/>
  <c r="AB5" i="21" s="1"/>
  <c r="AC5" i="21" s="1"/>
  <c r="AD5" i="21" s="1"/>
  <c r="AE5" i="21" s="1"/>
  <c r="AF5" i="21" s="1"/>
  <c r="AG5" i="21" s="1"/>
  <c r="AH5" i="21" s="1"/>
  <c r="AI5" i="21" s="1"/>
  <c r="AJ5" i="21" s="1"/>
  <c r="AK5" i="21" s="1"/>
  <c r="AL5" i="21" s="1"/>
  <c r="AM5" i="21" s="1"/>
  <c r="AN5" i="21" s="1"/>
  <c r="AO5" i="21" s="1"/>
  <c r="AP5" i="21" s="1"/>
  <c r="AQ5" i="21" s="1"/>
  <c r="AR5" i="21" s="1"/>
  <c r="AS5" i="21" s="1"/>
  <c r="AT5" i="21" s="1"/>
  <c r="AU5" i="21" s="1"/>
  <c r="AV5" i="21" s="1"/>
  <c r="AW5" i="21" s="1"/>
  <c r="AX5" i="21" s="1"/>
  <c r="AY5" i="21" s="1"/>
  <c r="AZ5" i="21" s="1"/>
  <c r="BA5" i="21" s="1"/>
  <c r="BB5" i="21" s="1"/>
  <c r="BC5" i="21" s="1"/>
  <c r="BD5" i="21" s="1"/>
  <c r="BE5" i="21" s="1"/>
  <c r="BF5" i="21" s="1"/>
  <c r="BG5" i="21" s="1"/>
  <c r="BH5" i="21" s="1"/>
  <c r="BI5" i="21" s="1"/>
  <c r="BJ5" i="21" s="1"/>
  <c r="B57" i="21"/>
  <c r="D3" i="21"/>
  <c r="E3" i="21" s="1"/>
  <c r="B11" i="8"/>
  <c r="C11" i="8"/>
  <c r="D11" i="8"/>
  <c r="E11" i="8"/>
  <c r="F11" i="8"/>
  <c r="G11" i="8"/>
  <c r="H11" i="8"/>
  <c r="I11" i="8"/>
  <c r="J11" i="8"/>
  <c r="K11" i="8"/>
  <c r="L11" i="8"/>
  <c r="M11" i="8"/>
  <c r="B11" i="3" s="1"/>
  <c r="N11" i="8"/>
  <c r="B16" i="3"/>
  <c r="O11" i="8"/>
  <c r="P11" i="8"/>
  <c r="Q11" i="8"/>
  <c r="R11" i="8"/>
  <c r="S11" i="8"/>
  <c r="T11" i="8"/>
  <c r="U11" i="8"/>
  <c r="V11" i="8"/>
  <c r="W11" i="8"/>
  <c r="X11" i="8"/>
  <c r="Y11" i="8"/>
  <c r="C11" i="3" s="1"/>
  <c r="Z11" i="8"/>
  <c r="C16" i="3"/>
  <c r="AA11" i="8"/>
  <c r="AB11" i="8"/>
  <c r="AC11" i="8"/>
  <c r="AD11" i="8"/>
  <c r="AE11" i="8"/>
  <c r="AF11" i="8"/>
  <c r="AG11" i="8"/>
  <c r="AH11" i="8"/>
  <c r="AI11" i="8"/>
  <c r="AJ11" i="8"/>
  <c r="AK11" i="8"/>
  <c r="D11" i="3"/>
  <c r="AL11" i="8"/>
  <c r="D16" i="3"/>
  <c r="AM11" i="8"/>
  <c r="AN11" i="8"/>
  <c r="AO11" i="8"/>
  <c r="AP11" i="8"/>
  <c r="AQ11" i="8"/>
  <c r="AR11" i="8"/>
  <c r="AS11" i="8"/>
  <c r="AT11" i="8"/>
  <c r="AU11" i="8"/>
  <c r="AV11" i="8"/>
  <c r="AW11" i="8"/>
  <c r="E11" i="3"/>
  <c r="E16" i="3"/>
  <c r="AX11" i="8"/>
  <c r="AY11" i="8"/>
  <c r="AZ11" i="8"/>
  <c r="BA11" i="8"/>
  <c r="BB11" i="8"/>
  <c r="BC11" i="8"/>
  <c r="BD11" i="8"/>
  <c r="BE11" i="8"/>
  <c r="BF11" i="8"/>
  <c r="BG11" i="8"/>
  <c r="BI11" i="8"/>
  <c r="F11" i="3" s="1"/>
  <c r="BH11" i="8"/>
  <c r="F16" i="3"/>
  <c r="C33" i="21" l="1"/>
  <c r="C43" i="21" s="1"/>
  <c r="D23" i="21"/>
  <c r="AV19" i="21"/>
  <c r="AU18" i="9" s="1"/>
  <c r="V19" i="21"/>
  <c r="U18" i="9" s="1"/>
  <c r="S19" i="21"/>
  <c r="R18" i="9" s="1"/>
  <c r="C25" i="21"/>
  <c r="C35" i="21" s="1"/>
  <c r="C45" i="21" s="1"/>
  <c r="AC19" i="21"/>
  <c r="AB18" i="9" s="1"/>
  <c r="C7" i="1"/>
  <c r="D7" i="1" s="1"/>
  <c r="BD19" i="21"/>
  <c r="BC18" i="9" s="1"/>
  <c r="N19" i="21"/>
  <c r="M18" i="9" s="1"/>
  <c r="A13" i="7"/>
  <c r="A14" i="9" s="1"/>
  <c r="A14" i="4" s="1"/>
  <c r="W19" i="21"/>
  <c r="V18" i="9" s="1"/>
  <c r="T19" i="21"/>
  <c r="S18" i="9" s="1"/>
  <c r="C22" i="20"/>
  <c r="BF19" i="21"/>
  <c r="BE18" i="9" s="1"/>
  <c r="M22" i="20"/>
  <c r="K22" i="20"/>
  <c r="C24" i="21"/>
  <c r="D4" i="21"/>
  <c r="E4" i="21" s="1"/>
  <c r="F4" i="21" s="1"/>
  <c r="G4" i="21" s="1"/>
  <c r="H4" i="21" s="1"/>
  <c r="I4" i="21" s="1"/>
  <c r="J4" i="21" s="1"/>
  <c r="K4" i="21" s="1"/>
  <c r="L4" i="21" s="1"/>
  <c r="M4" i="21" s="1"/>
  <c r="N4" i="21" s="1"/>
  <c r="O4" i="21" s="1"/>
  <c r="P4" i="21" s="1"/>
  <c r="Q4" i="21" s="1"/>
  <c r="R4" i="21" s="1"/>
  <c r="S4" i="21" s="1"/>
  <c r="T4" i="21" s="1"/>
  <c r="U4" i="21" s="1"/>
  <c r="V4" i="21" s="1"/>
  <c r="W4" i="21" s="1"/>
  <c r="X4" i="21" s="1"/>
  <c r="Y4" i="21" s="1"/>
  <c r="Z4" i="21" s="1"/>
  <c r="AA4" i="21" s="1"/>
  <c r="AB4" i="21" s="1"/>
  <c r="AC4" i="21" s="1"/>
  <c r="AD4" i="21" s="1"/>
  <c r="AE4" i="21" s="1"/>
  <c r="AF4" i="21" s="1"/>
  <c r="AG4" i="21" s="1"/>
  <c r="AH4" i="21" s="1"/>
  <c r="AI4" i="21" s="1"/>
  <c r="AJ4" i="21" s="1"/>
  <c r="AK4" i="21" s="1"/>
  <c r="AL4" i="21" s="1"/>
  <c r="AM4" i="21" s="1"/>
  <c r="AN4" i="21" s="1"/>
  <c r="AO4" i="21" s="1"/>
  <c r="AP4" i="21" s="1"/>
  <c r="AQ4" i="21" s="1"/>
  <c r="AR4" i="21" s="1"/>
  <c r="AS4" i="21" s="1"/>
  <c r="AT4" i="21" s="1"/>
  <c r="AU4" i="21" s="1"/>
  <c r="AV4" i="21" s="1"/>
  <c r="AW4" i="21" s="1"/>
  <c r="AX4" i="21" s="1"/>
  <c r="AY4" i="21" s="1"/>
  <c r="AZ4" i="21" s="1"/>
  <c r="BA4" i="21" s="1"/>
  <c r="BB4" i="21" s="1"/>
  <c r="BC4" i="21" s="1"/>
  <c r="BD4" i="21" s="1"/>
  <c r="BE4" i="21" s="1"/>
  <c r="BF4" i="21" s="1"/>
  <c r="BG4" i="21" s="1"/>
  <c r="BH4" i="21" s="1"/>
  <c r="BI4" i="21" s="1"/>
  <c r="BJ4" i="21" s="1"/>
  <c r="A19" i="1"/>
  <c r="A10" i="7"/>
  <c r="A11" i="9" s="1"/>
  <c r="A11" i="4" s="1"/>
  <c r="B27" i="20"/>
  <c r="M27" i="20"/>
  <c r="M34" i="20" s="1"/>
  <c r="M3" i="1" s="1"/>
  <c r="I27" i="20"/>
  <c r="BH19" i="21"/>
  <c r="BG18" i="9" s="1"/>
  <c r="C19" i="21"/>
  <c r="B18" i="9" s="1"/>
  <c r="AA19" i="21"/>
  <c r="Z18" i="9" s="1"/>
  <c r="Y19" i="21"/>
  <c r="X18" i="9" s="1"/>
  <c r="L19" i="21"/>
  <c r="K18" i="9" s="1"/>
  <c r="C9" i="21"/>
  <c r="C28" i="20"/>
  <c r="A15" i="7"/>
  <c r="A16" i="9" s="1"/>
  <c r="A16" i="4" s="1"/>
  <c r="A24" i="1"/>
  <c r="BC19" i="21"/>
  <c r="BB18" i="9" s="1"/>
  <c r="AO19" i="21"/>
  <c r="AN18" i="9" s="1"/>
  <c r="D22" i="20"/>
  <c r="BJ19" i="21"/>
  <c r="BI18" i="9" s="1"/>
  <c r="AX19" i="21"/>
  <c r="AW18" i="9" s="1"/>
  <c r="C26" i="21"/>
  <c r="C29" i="21" s="1"/>
  <c r="H19" i="21"/>
  <c r="G18" i="9" s="1"/>
  <c r="B22" i="20"/>
  <c r="AS19" i="21"/>
  <c r="AR18" i="9" s="1"/>
  <c r="Q19" i="21"/>
  <c r="P18" i="9" s="1"/>
  <c r="G19" i="21"/>
  <c r="F18" i="9" s="1"/>
  <c r="AL19" i="21"/>
  <c r="AK18" i="9" s="1"/>
  <c r="Z19" i="21"/>
  <c r="Y18" i="9" s="1"/>
  <c r="E19" i="21"/>
  <c r="D18" i="9" s="1"/>
  <c r="AP30" i="20"/>
  <c r="AI30" i="20"/>
  <c r="D30" i="20"/>
  <c r="AW30" i="20"/>
  <c r="BH30" i="20"/>
  <c r="E49" i="12"/>
  <c r="AA17" i="20" s="1"/>
  <c r="AA29" i="20" s="1"/>
  <c r="D55" i="12"/>
  <c r="BB19" i="21"/>
  <c r="BA18" i="9" s="1"/>
  <c r="AN19" i="21"/>
  <c r="AM18" i="9" s="1"/>
  <c r="J27" i="20"/>
  <c r="B5" i="9"/>
  <c r="B5" i="4" s="1"/>
  <c r="A20" i="1"/>
  <c r="A11" i="10"/>
  <c r="A12" i="17" s="1"/>
  <c r="AZ19" i="21"/>
  <c r="AY18" i="9" s="1"/>
  <c r="AE19" i="21"/>
  <c r="AD18" i="9" s="1"/>
  <c r="X19" i="21"/>
  <c r="W18" i="9" s="1"/>
  <c r="O19" i="21"/>
  <c r="N18" i="9" s="1"/>
  <c r="F22" i="20"/>
  <c r="BG19" i="21"/>
  <c r="BF18" i="9" s="1"/>
  <c r="AB19" i="21"/>
  <c r="AA18" i="9" s="1"/>
  <c r="D25" i="21"/>
  <c r="I19" i="21"/>
  <c r="H18" i="9" s="1"/>
  <c r="G32" i="20"/>
  <c r="AU19" i="21"/>
  <c r="AT18" i="9" s="1"/>
  <c r="K30" i="20"/>
  <c r="L22" i="20"/>
  <c r="A23" i="1"/>
  <c r="AI19" i="21"/>
  <c r="AH18" i="9" s="1"/>
  <c r="D32" i="20"/>
  <c r="D9" i="7"/>
  <c r="D10" i="9" s="1"/>
  <c r="AW19" i="21"/>
  <c r="AV18" i="9" s="1"/>
  <c r="AT19" i="21"/>
  <c r="AS18" i="9" s="1"/>
  <c r="AK19" i="21"/>
  <c r="AJ18" i="9" s="1"/>
  <c r="U19" i="21"/>
  <c r="T18" i="9" s="1"/>
  <c r="F19" i="21"/>
  <c r="E18" i="9" s="1"/>
  <c r="B9" i="7"/>
  <c r="B10" i="9" s="1"/>
  <c r="D19" i="21"/>
  <c r="C18" i="9" s="1"/>
  <c r="B44" i="2"/>
  <c r="B6" i="2"/>
  <c r="B3" i="7" s="1"/>
  <c r="B42" i="2"/>
  <c r="B43" i="2"/>
  <c r="E20" i="8"/>
  <c r="AC17" i="20"/>
  <c r="AC29" i="20" s="1"/>
  <c r="E9" i="21"/>
  <c r="F3" i="21"/>
  <c r="D9" i="21"/>
  <c r="O31" i="20"/>
  <c r="U31" i="20"/>
  <c r="C31" i="20"/>
  <c r="X31" i="20"/>
  <c r="AM31" i="20"/>
  <c r="AS31" i="20"/>
  <c r="H31" i="20"/>
  <c r="V31" i="20"/>
  <c r="AQ31" i="20"/>
  <c r="AW31" i="20"/>
  <c r="F31" i="20"/>
  <c r="L31" i="20"/>
  <c r="P31" i="20"/>
  <c r="AD31" i="20"/>
  <c r="AJ31" i="20"/>
  <c r="AY31" i="20"/>
  <c r="BE31" i="20"/>
  <c r="R31" i="20"/>
  <c r="AH31" i="20"/>
  <c r="AB31" i="20"/>
  <c r="AT31" i="20"/>
  <c r="BF31" i="20"/>
  <c r="G31" i="20"/>
  <c r="W31" i="20"/>
  <c r="AF31" i="20"/>
  <c r="BC31" i="20"/>
  <c r="D31" i="20"/>
  <c r="K31" i="20"/>
  <c r="AP31" i="20"/>
  <c r="I31" i="20"/>
  <c r="T31" i="20"/>
  <c r="AC31" i="20"/>
  <c r="AK31" i="20"/>
  <c r="AU31" i="20"/>
  <c r="BH31" i="20"/>
  <c r="E31" i="20"/>
  <c r="AI31" i="20"/>
  <c r="Y31" i="20"/>
  <c r="AA31" i="20"/>
  <c r="AO31" i="20"/>
  <c r="BG31" i="20"/>
  <c r="Q31" i="20"/>
  <c r="BA31" i="20"/>
  <c r="AR31" i="20"/>
  <c r="J31" i="20"/>
  <c r="AN31" i="20"/>
  <c r="B31" i="20"/>
  <c r="M31" i="20"/>
  <c r="C7" i="20"/>
  <c r="AG31" i="20"/>
  <c r="BB31" i="20"/>
  <c r="AV31" i="20"/>
  <c r="B10" i="20"/>
  <c r="AE31" i="20"/>
  <c r="BD31" i="20"/>
  <c r="BI31" i="20"/>
  <c r="S31" i="20"/>
  <c r="AZ31" i="20"/>
  <c r="A12" i="7"/>
  <c r="A13" i="9" s="1"/>
  <c r="A13" i="4" s="1"/>
  <c r="A21" i="1"/>
  <c r="A12" i="10"/>
  <c r="A13" i="17" s="1"/>
  <c r="C53" i="21"/>
  <c r="C37" i="21"/>
  <c r="C47" i="21" s="1"/>
  <c r="D27" i="21"/>
  <c r="B11" i="19"/>
  <c r="C55" i="21"/>
  <c r="B6" i="8" s="1"/>
  <c r="AM15" i="20"/>
  <c r="AS15" i="20"/>
  <c r="AU15" i="20"/>
  <c r="AL15" i="20"/>
  <c r="AP15" i="20"/>
  <c r="AR15" i="20"/>
  <c r="AT15" i="20"/>
  <c r="AO15" i="20"/>
  <c r="AV15" i="20"/>
  <c r="AN15" i="20"/>
  <c r="AW15" i="20"/>
  <c r="AQ15" i="20"/>
  <c r="G47" i="12"/>
  <c r="O17" i="20"/>
  <c r="O22" i="20" s="1"/>
  <c r="U17" i="20"/>
  <c r="U22" i="20" s="1"/>
  <c r="V17" i="20"/>
  <c r="V22" i="20" s="1"/>
  <c r="X17" i="20"/>
  <c r="X22" i="20" s="1"/>
  <c r="N17" i="20"/>
  <c r="N22" i="20" s="1"/>
  <c r="T17" i="20"/>
  <c r="T22" i="20" s="1"/>
  <c r="S17" i="20"/>
  <c r="S22" i="20" s="1"/>
  <c r="W17" i="20"/>
  <c r="W22" i="20" s="1"/>
  <c r="Y17" i="20"/>
  <c r="Y22" i="20" s="1"/>
  <c r="Q17" i="20"/>
  <c r="Q22" i="20" s="1"/>
  <c r="P17" i="20"/>
  <c r="P22" i="20" s="1"/>
  <c r="R17" i="20"/>
  <c r="R22" i="20" s="1"/>
  <c r="AE15" i="20"/>
  <c r="AK15" i="20"/>
  <c r="AD15" i="20"/>
  <c r="AB15" i="20"/>
  <c r="AJ15" i="20"/>
  <c r="AA15" i="20"/>
  <c r="AC15" i="20"/>
  <c r="AH15" i="20"/>
  <c r="AF15" i="20"/>
  <c r="AG15" i="20"/>
  <c r="AI15" i="20"/>
  <c r="Z15" i="20"/>
  <c r="I22" i="20"/>
  <c r="I29" i="20"/>
  <c r="G22" i="20"/>
  <c r="G30" i="20"/>
  <c r="AH19" i="21"/>
  <c r="AG18" i="9" s="1"/>
  <c r="B16" i="9"/>
  <c r="B15" i="9"/>
  <c r="R19" i="21"/>
  <c r="Q18" i="9" s="1"/>
  <c r="C12" i="7"/>
  <c r="J28" i="20"/>
  <c r="J22" i="20"/>
  <c r="R33" i="20"/>
  <c r="X33" i="20"/>
  <c r="AQ33" i="20"/>
  <c r="AW33" i="20"/>
  <c r="AY33" i="20"/>
  <c r="BE33" i="20"/>
  <c r="V33" i="20"/>
  <c r="AO33" i="20"/>
  <c r="AU33" i="20"/>
  <c r="BC33" i="20"/>
  <c r="BI33" i="20"/>
  <c r="P33" i="20"/>
  <c r="AB33" i="20"/>
  <c r="AH33" i="20"/>
  <c r="U33" i="20"/>
  <c r="AI33" i="20"/>
  <c r="G33" i="20"/>
  <c r="M33" i="20"/>
  <c r="AC33" i="20"/>
  <c r="AP33" i="20"/>
  <c r="AZ33" i="20"/>
  <c r="BG33" i="20"/>
  <c r="S33" i="20"/>
  <c r="AM33" i="20"/>
  <c r="AT33" i="20"/>
  <c r="BD33" i="20"/>
  <c r="E33" i="20"/>
  <c r="K33" i="20"/>
  <c r="AJ33" i="20"/>
  <c r="BA33" i="20"/>
  <c r="W33" i="20"/>
  <c r="D33" i="20"/>
  <c r="AG33" i="20"/>
  <c r="Y33" i="20"/>
  <c r="B33" i="20"/>
  <c r="AA33" i="20"/>
  <c r="AR33" i="20"/>
  <c r="BH33" i="20"/>
  <c r="J33" i="20"/>
  <c r="C9" i="20"/>
  <c r="AN33" i="20"/>
  <c r="AE33" i="20"/>
  <c r="AV33" i="20"/>
  <c r="F33" i="20"/>
  <c r="AK33" i="20"/>
  <c r="AS33" i="20"/>
  <c r="C33" i="20"/>
  <c r="O33" i="20"/>
  <c r="AF33" i="20"/>
  <c r="H33" i="20"/>
  <c r="AD33" i="20"/>
  <c r="BB33" i="20"/>
  <c r="L33" i="20"/>
  <c r="I33" i="20"/>
  <c r="T33" i="20"/>
  <c r="BF33" i="20"/>
  <c r="E22" i="20"/>
  <c r="Q33" i="20"/>
  <c r="C5" i="1"/>
  <c r="B10" i="7"/>
  <c r="B5" i="19"/>
  <c r="B10" i="19" s="1"/>
  <c r="B11" i="16"/>
  <c r="B30" i="2"/>
  <c r="B16" i="2"/>
  <c r="E9" i="1"/>
  <c r="D14" i="7"/>
  <c r="D15" i="9" s="1"/>
  <c r="BE19" i="21"/>
  <c r="BD18" i="9" s="1"/>
  <c r="AF19" i="21"/>
  <c r="AE18" i="9" s="1"/>
  <c r="BB16" i="20"/>
  <c r="BB28" i="20" s="1"/>
  <c r="BH16" i="20"/>
  <c r="BH28" i="20" s="1"/>
  <c r="BI16" i="20"/>
  <c r="BI28" i="20" s="1"/>
  <c r="AZ16" i="20"/>
  <c r="AZ28" i="20" s="1"/>
  <c r="BG16" i="20"/>
  <c r="BG28" i="20" s="1"/>
  <c r="AY16" i="20"/>
  <c r="BE16" i="20"/>
  <c r="BE28" i="20" s="1"/>
  <c r="BF16" i="20"/>
  <c r="BF28" i="20" s="1"/>
  <c r="BC16" i="20"/>
  <c r="BD16" i="20"/>
  <c r="BD28" i="20" s="1"/>
  <c r="AX16" i="20"/>
  <c r="BA16" i="20"/>
  <c r="BA28" i="20" s="1"/>
  <c r="B45" i="2"/>
  <c r="N45" i="2"/>
  <c r="P32" i="20"/>
  <c r="V32" i="20"/>
  <c r="X32" i="20"/>
  <c r="AR32" i="20"/>
  <c r="B32" i="20"/>
  <c r="H32" i="20"/>
  <c r="O32" i="20"/>
  <c r="AP32" i="20"/>
  <c r="AV32" i="20"/>
  <c r="F32" i="20"/>
  <c r="L32" i="20"/>
  <c r="AC32" i="20"/>
  <c r="AI32" i="20"/>
  <c r="AB32" i="20"/>
  <c r="AN32" i="20"/>
  <c r="AU32" i="20"/>
  <c r="AY32" i="20"/>
  <c r="BE32" i="20"/>
  <c r="T32" i="20"/>
  <c r="E32" i="20"/>
  <c r="AS32" i="20"/>
  <c r="BC32" i="20"/>
  <c r="BI32" i="20"/>
  <c r="S32" i="20"/>
  <c r="AA32" i="20"/>
  <c r="AH32" i="20"/>
  <c r="AT32" i="20"/>
  <c r="BF32" i="20"/>
  <c r="I32" i="20"/>
  <c r="Q32" i="20"/>
  <c r="AF32" i="20"/>
  <c r="M32" i="20"/>
  <c r="U32" i="20"/>
  <c r="BB32" i="20"/>
  <c r="R32" i="20"/>
  <c r="AK32" i="20"/>
  <c r="AQ32" i="20"/>
  <c r="BG32" i="20"/>
  <c r="Y32" i="20"/>
  <c r="AJ32" i="20"/>
  <c r="AO32" i="20"/>
  <c r="C8" i="20"/>
  <c r="AW32" i="20"/>
  <c r="C32" i="20"/>
  <c r="K32" i="20"/>
  <c r="AG32" i="20"/>
  <c r="AM32" i="20"/>
  <c r="BD32" i="20"/>
  <c r="AZ32" i="20"/>
  <c r="J32" i="20"/>
  <c r="BA32" i="20"/>
  <c r="BH32" i="20"/>
  <c r="AY19" i="21"/>
  <c r="AX18" i="9" s="1"/>
  <c r="AM19" i="21"/>
  <c r="AL18" i="9" s="1"/>
  <c r="B18" i="6"/>
  <c r="B20" i="6" s="1"/>
  <c r="AL16" i="20"/>
  <c r="AR16" i="20"/>
  <c r="AR28" i="20" s="1"/>
  <c r="AU16" i="20"/>
  <c r="AU28" i="20" s="1"/>
  <c r="AS16" i="20"/>
  <c r="AS28" i="20" s="1"/>
  <c r="AM16" i="20"/>
  <c r="AM28" i="20" s="1"/>
  <c r="AT16" i="20"/>
  <c r="AT28" i="20" s="1"/>
  <c r="AQ16" i="20"/>
  <c r="AQ28" i="20" s="1"/>
  <c r="AN16" i="20"/>
  <c r="AN28" i="20" s="1"/>
  <c r="AW16" i="20"/>
  <c r="AW28" i="20" s="1"/>
  <c r="AP16" i="20"/>
  <c r="AP28" i="20" s="1"/>
  <c r="AV16" i="20"/>
  <c r="AV28" i="20" s="1"/>
  <c r="AO16" i="20"/>
  <c r="AO28" i="20" s="1"/>
  <c r="D30" i="2"/>
  <c r="D16" i="2"/>
  <c r="BA19" i="21"/>
  <c r="AZ18" i="9" s="1"/>
  <c r="K19" i="21"/>
  <c r="J18" i="9" s="1"/>
  <c r="AE32" i="20"/>
  <c r="W32" i="20"/>
  <c r="H4" i="1"/>
  <c r="D29" i="20"/>
  <c r="J29" i="20"/>
  <c r="P29" i="20"/>
  <c r="H29" i="20"/>
  <c r="C5" i="20"/>
  <c r="U29" i="20"/>
  <c r="F29" i="20"/>
  <c r="C29" i="20"/>
  <c r="K29" i="20"/>
  <c r="Y29" i="20"/>
  <c r="B29" i="20"/>
  <c r="G29" i="20"/>
  <c r="M29" i="20"/>
  <c r="E29" i="20"/>
  <c r="O29" i="20"/>
  <c r="L29" i="20"/>
  <c r="G9" i="7"/>
  <c r="G10" i="9" s="1"/>
  <c r="E23" i="21"/>
  <c r="D33" i="21"/>
  <c r="D43" i="21" s="1"/>
  <c r="H22" i="20"/>
  <c r="A9" i="10"/>
  <c r="A10" i="17" s="1"/>
  <c r="AD16" i="20"/>
  <c r="AD28" i="20" s="1"/>
  <c r="AH16" i="20"/>
  <c r="AH28" i="20" s="1"/>
  <c r="AE16" i="20"/>
  <c r="AE28" i="20" s="1"/>
  <c r="Z16" i="20"/>
  <c r="AJ16" i="20"/>
  <c r="AJ28" i="20" s="1"/>
  <c r="AF16" i="20"/>
  <c r="AF28" i="20" s="1"/>
  <c r="AG16" i="20"/>
  <c r="AG28" i="20" s="1"/>
  <c r="AB16" i="20"/>
  <c r="AB28" i="20" s="1"/>
  <c r="AC16" i="20"/>
  <c r="AC28" i="20" s="1"/>
  <c r="AA16" i="20"/>
  <c r="AA28" i="20" s="1"/>
  <c r="AI16" i="20"/>
  <c r="AI28" i="20" s="1"/>
  <c r="P28" i="20"/>
  <c r="V28" i="20"/>
  <c r="O28" i="20"/>
  <c r="B28" i="20"/>
  <c r="H28" i="20"/>
  <c r="AK28" i="20"/>
  <c r="F28" i="20"/>
  <c r="L28" i="20"/>
  <c r="C4" i="20"/>
  <c r="T28" i="20"/>
  <c r="Q28" i="20"/>
  <c r="X28" i="20"/>
  <c r="AY28" i="20"/>
  <c r="I28" i="20"/>
  <c r="U28" i="20"/>
  <c r="M28" i="20"/>
  <c r="Y28" i="20"/>
  <c r="K28" i="20"/>
  <c r="BC28" i="20"/>
  <c r="G28" i="20"/>
  <c r="S28" i="20"/>
  <c r="D28" i="20"/>
  <c r="W28" i="20"/>
  <c r="E28" i="20"/>
  <c r="F10" i="1"/>
  <c r="E15" i="7"/>
  <c r="E16" i="9" s="1"/>
  <c r="C6" i="1"/>
  <c r="B11" i="7"/>
  <c r="C6" i="20"/>
  <c r="S30" i="20"/>
  <c r="Y30" i="20"/>
  <c r="O30" i="20"/>
  <c r="X30" i="20"/>
  <c r="AF30" i="20"/>
  <c r="AN30" i="20"/>
  <c r="AT30" i="20"/>
  <c r="B30" i="20"/>
  <c r="H30" i="20"/>
  <c r="V30" i="20"/>
  <c r="AD30" i="20"/>
  <c r="AJ30" i="20"/>
  <c r="AR30" i="20"/>
  <c r="F30" i="20"/>
  <c r="L30" i="20"/>
  <c r="P30" i="20"/>
  <c r="AZ30" i="20"/>
  <c r="BF30" i="20"/>
  <c r="BE30" i="20"/>
  <c r="Q30" i="20"/>
  <c r="AA30" i="20"/>
  <c r="AH30" i="20"/>
  <c r="AY30" i="20"/>
  <c r="E30" i="20"/>
  <c r="U30" i="20"/>
  <c r="AE30" i="20"/>
  <c r="BC30" i="20"/>
  <c r="T30" i="20"/>
  <c r="AK30" i="20"/>
  <c r="AU30" i="20"/>
  <c r="BA30" i="20"/>
  <c r="AC30" i="20"/>
  <c r="BI30" i="20"/>
  <c r="M30" i="20"/>
  <c r="J30" i="20"/>
  <c r="AS30" i="20"/>
  <c r="BD30" i="20"/>
  <c r="I30" i="20"/>
  <c r="AM30" i="20"/>
  <c r="C30" i="20"/>
  <c r="AG30" i="20"/>
  <c r="AV30" i="20"/>
  <c r="BG30" i="20"/>
  <c r="R30" i="20"/>
  <c r="AB30" i="20"/>
  <c r="AQ30" i="20"/>
  <c r="BB30" i="20"/>
  <c r="E27" i="20"/>
  <c r="K27" i="20"/>
  <c r="H27" i="20"/>
  <c r="C3" i="20"/>
  <c r="F27" i="20"/>
  <c r="G27" i="20"/>
  <c r="C27" i="20"/>
  <c r="L27" i="20"/>
  <c r="D27" i="20"/>
  <c r="O33" i="2"/>
  <c r="B40" i="2"/>
  <c r="B41" i="2"/>
  <c r="C18" i="4" l="1"/>
  <c r="B37" i="20"/>
  <c r="I34" i="20"/>
  <c r="I3" i="1" s="1"/>
  <c r="I8" i="7" s="1"/>
  <c r="AK17" i="20"/>
  <c r="AK29" i="20" s="1"/>
  <c r="B18" i="4"/>
  <c r="AA22" i="20"/>
  <c r="AI17" i="20"/>
  <c r="AI29" i="20" s="1"/>
  <c r="D26" i="21"/>
  <c r="C36" i="21"/>
  <c r="C46" i="21" s="1"/>
  <c r="C56" i="21" s="1"/>
  <c r="W29" i="20"/>
  <c r="AJ17" i="20"/>
  <c r="AJ29" i="20" s="1"/>
  <c r="Z17" i="20"/>
  <c r="Z22" i="20" s="1"/>
  <c r="AD17" i="20"/>
  <c r="AD29" i="20" s="1"/>
  <c r="D18" i="4"/>
  <c r="AB17" i="20"/>
  <c r="AB29" i="20" s="1"/>
  <c r="AH17" i="20"/>
  <c r="AH29" i="20" s="1"/>
  <c r="S29" i="20"/>
  <c r="E55" i="12"/>
  <c r="AF17" i="20"/>
  <c r="AF29" i="20" s="1"/>
  <c r="B39" i="20"/>
  <c r="E18" i="4"/>
  <c r="AE17" i="20"/>
  <c r="AE29" i="20" s="1"/>
  <c r="D35" i="21"/>
  <c r="D45" i="21" s="1"/>
  <c r="E25" i="21"/>
  <c r="AG17" i="20"/>
  <c r="AG29" i="20" s="1"/>
  <c r="D34" i="20"/>
  <c r="D3" i="1" s="1"/>
  <c r="D8" i="7" s="1"/>
  <c r="F49" i="12"/>
  <c r="AT17" i="20" s="1"/>
  <c r="D24" i="21"/>
  <c r="C34" i="21"/>
  <c r="F18" i="4"/>
  <c r="B47" i="2"/>
  <c r="B4" i="7" s="1"/>
  <c r="B20" i="9" s="1"/>
  <c r="B7" i="22"/>
  <c r="B11" i="22" s="1"/>
  <c r="B15" i="22" s="1"/>
  <c r="B8" i="1"/>
  <c r="B13" i="7" s="1"/>
  <c r="D53" i="21"/>
  <c r="J34" i="20"/>
  <c r="J3" i="1" s="1"/>
  <c r="O34" i="2"/>
  <c r="O4" i="2" s="1"/>
  <c r="O45" i="2" s="1"/>
  <c r="P33" i="2"/>
  <c r="C24" i="16"/>
  <c r="B23" i="6"/>
  <c r="M8" i="7"/>
  <c r="B43" i="20"/>
  <c r="D7" i="20"/>
  <c r="N31" i="20"/>
  <c r="C41" i="20" s="1"/>
  <c r="B12" i="9"/>
  <c r="I4" i="1"/>
  <c r="H9" i="7"/>
  <c r="H10" i="9" s="1"/>
  <c r="C13" i="9"/>
  <c r="D6" i="1"/>
  <c r="C11" i="7"/>
  <c r="C12" i="9" s="1"/>
  <c r="T29" i="20"/>
  <c r="B12" i="19"/>
  <c r="C10" i="19"/>
  <c r="B19" i="9"/>
  <c r="E7" i="1"/>
  <c r="D12" i="7"/>
  <c r="D13" i="9" s="1"/>
  <c r="B41" i="20"/>
  <c r="B40" i="20"/>
  <c r="G10" i="1"/>
  <c r="F15" i="7"/>
  <c r="F16" i="9" s="1"/>
  <c r="G34" i="20"/>
  <c r="G3" i="1" s="1"/>
  <c r="AQ17" i="20"/>
  <c r="AQ29" i="20" s="1"/>
  <c r="AW17" i="20"/>
  <c r="AW29" i="20" s="1"/>
  <c r="AU17" i="20"/>
  <c r="AU29" i="20" s="1"/>
  <c r="AS17" i="20"/>
  <c r="AS29" i="20" s="1"/>
  <c r="AM17" i="20"/>
  <c r="AM29" i="20" s="1"/>
  <c r="AP17" i="20"/>
  <c r="AP29" i="20" s="1"/>
  <c r="AL17" i="20"/>
  <c r="AL22" i="20" s="1"/>
  <c r="AN17" i="20"/>
  <c r="AN29" i="20" s="1"/>
  <c r="F34" i="20"/>
  <c r="F3" i="1" s="1"/>
  <c r="H34" i="20"/>
  <c r="H3" i="1" s="1"/>
  <c r="F9" i="1"/>
  <c r="E14" i="7"/>
  <c r="D5" i="1"/>
  <c r="C10" i="7"/>
  <c r="C11" i="9" s="1"/>
  <c r="D55" i="21"/>
  <c r="C6" i="8" s="1"/>
  <c r="B4" i="8"/>
  <c r="K34" i="20"/>
  <c r="K3" i="1" s="1"/>
  <c r="V29" i="20"/>
  <c r="AF22" i="20"/>
  <c r="E34" i="20"/>
  <c r="E3" i="1" s="1"/>
  <c r="Q29" i="20"/>
  <c r="X29" i="20"/>
  <c r="C33" i="2"/>
  <c r="C19" i="2"/>
  <c r="B11" i="1"/>
  <c r="N30" i="20"/>
  <c r="C40" i="20" s="1"/>
  <c r="D6" i="20"/>
  <c r="R29" i="20"/>
  <c r="AC22" i="20"/>
  <c r="N28" i="20"/>
  <c r="C38" i="20" s="1"/>
  <c r="D4" i="20"/>
  <c r="N32" i="20"/>
  <c r="C42" i="20" s="1"/>
  <c r="D8" i="20"/>
  <c r="N29" i="20"/>
  <c r="D5" i="20"/>
  <c r="B42" i="20"/>
  <c r="L34" i="20"/>
  <c r="L3" i="1" s="1"/>
  <c r="AD22" i="20"/>
  <c r="G3" i="21"/>
  <c r="F9" i="21"/>
  <c r="C34" i="20"/>
  <c r="C3" i="1" s="1"/>
  <c r="D37" i="21"/>
  <c r="E27" i="21"/>
  <c r="BC15" i="20"/>
  <c r="BI15" i="20"/>
  <c r="BB15" i="20"/>
  <c r="AZ15" i="20"/>
  <c r="BG15" i="20"/>
  <c r="BD15" i="20"/>
  <c r="BA15" i="20"/>
  <c r="BH15" i="20"/>
  <c r="BF15" i="20"/>
  <c r="AY15" i="20"/>
  <c r="AX15" i="20"/>
  <c r="BE15" i="20"/>
  <c r="O27" i="20"/>
  <c r="O34" i="20" s="1"/>
  <c r="O3" i="1" s="1"/>
  <c r="U27" i="20"/>
  <c r="U34" i="20" s="1"/>
  <c r="U3" i="1" s="1"/>
  <c r="D3" i="20"/>
  <c r="V27" i="20"/>
  <c r="T27" i="20"/>
  <c r="N27" i="20"/>
  <c r="R27" i="20"/>
  <c r="S27" i="20"/>
  <c r="S34" i="20" s="1"/>
  <c r="S3" i="1" s="1"/>
  <c r="X27" i="20"/>
  <c r="W27" i="20"/>
  <c r="Y27" i="20"/>
  <c r="Y34" i="20" s="1"/>
  <c r="Y3" i="1" s="1"/>
  <c r="P27" i="20"/>
  <c r="P34" i="20" s="1"/>
  <c r="P3" i="1" s="1"/>
  <c r="Q27" i="20"/>
  <c r="C10" i="20"/>
  <c r="B38" i="20"/>
  <c r="B34" i="20"/>
  <c r="B3" i="1" s="1"/>
  <c r="E33" i="21"/>
  <c r="F23" i="21"/>
  <c r="B11" i="9"/>
  <c r="N33" i="20"/>
  <c r="C43" i="20" s="1"/>
  <c r="D9" i="20"/>
  <c r="AI22" i="20"/>
  <c r="F55" i="12"/>
  <c r="C57" i="21"/>
  <c r="F20" i="8"/>
  <c r="X34" i="20" l="1"/>
  <c r="X3" i="1" s="1"/>
  <c r="W34" i="20"/>
  <c r="W3" i="1" s="1"/>
  <c r="AK22" i="20"/>
  <c r="AB22" i="20"/>
  <c r="AE22" i="20"/>
  <c r="AT29" i="20"/>
  <c r="AT22" i="20"/>
  <c r="AJ22" i="20"/>
  <c r="R34" i="20"/>
  <c r="R3" i="1" s="1"/>
  <c r="R8" i="7" s="1"/>
  <c r="C44" i="21"/>
  <c r="C39" i="21"/>
  <c r="B12" i="1" s="1"/>
  <c r="B25" i="7" s="1"/>
  <c r="D36" i="21"/>
  <c r="D46" i="21" s="1"/>
  <c r="D56" i="21" s="1"/>
  <c r="E26" i="21"/>
  <c r="E24" i="21"/>
  <c r="D34" i="21"/>
  <c r="T34" i="20"/>
  <c r="T3" i="1" s="1"/>
  <c r="T8" i="7" s="1"/>
  <c r="V34" i="20"/>
  <c r="V3" i="1" s="1"/>
  <c r="V8" i="7" s="1"/>
  <c r="C39" i="20"/>
  <c r="AN22" i="20"/>
  <c r="G49" i="12"/>
  <c r="G55" i="12" s="1"/>
  <c r="B44" i="20"/>
  <c r="AH22" i="20"/>
  <c r="AQ22" i="20"/>
  <c r="AR17" i="20"/>
  <c r="AG22" i="20"/>
  <c r="AO17" i="20"/>
  <c r="AO29" i="20" s="1"/>
  <c r="F25" i="21"/>
  <c r="E35" i="21"/>
  <c r="E45" i="21" s="1"/>
  <c r="E55" i="21" s="1"/>
  <c r="D6" i="8" s="1"/>
  <c r="D29" i="21"/>
  <c r="D47" i="21"/>
  <c r="Q34" i="20"/>
  <c r="Q3" i="1" s="1"/>
  <c r="Q8" i="7" s="1"/>
  <c r="AV17" i="20"/>
  <c r="AV29" i="20" s="1"/>
  <c r="AM22" i="20"/>
  <c r="B9" i="22"/>
  <c r="B13" i="22" s="1"/>
  <c r="B4" i="9" s="1"/>
  <c r="B6" i="9" s="1"/>
  <c r="B5" i="7"/>
  <c r="X8" i="7"/>
  <c r="F27" i="21"/>
  <c r="E37" i="21"/>
  <c r="Z30" i="20"/>
  <c r="D40" i="20" s="1"/>
  <c r="E6" i="20"/>
  <c r="B29" i="6"/>
  <c r="B28" i="6"/>
  <c r="S8" i="7"/>
  <c r="D57" i="21"/>
  <c r="D9" i="9"/>
  <c r="D10" i="7"/>
  <c r="E5" i="1"/>
  <c r="E15" i="9"/>
  <c r="G8" i="7"/>
  <c r="F7" i="1"/>
  <c r="E12" i="7"/>
  <c r="E13" i="9" s="1"/>
  <c r="G20" i="8"/>
  <c r="G23" i="21"/>
  <c r="F33" i="21"/>
  <c r="C37" i="20"/>
  <c r="N34" i="20"/>
  <c r="N3" i="1" s="1"/>
  <c r="Z32" i="20"/>
  <c r="D42" i="20" s="1"/>
  <c r="E8" i="20"/>
  <c r="B21" i="7"/>
  <c r="J4" i="1"/>
  <c r="I9" i="7"/>
  <c r="Q33" i="2"/>
  <c r="P34" i="2"/>
  <c r="P4" i="2" s="1"/>
  <c r="P45" i="2" s="1"/>
  <c r="L8" i="7"/>
  <c r="K8" i="7"/>
  <c r="B8" i="7"/>
  <c r="B17" i="1"/>
  <c r="J8" i="7"/>
  <c r="AB27" i="20"/>
  <c r="AB34" i="20" s="1"/>
  <c r="AB3" i="1" s="1"/>
  <c r="AH27" i="20"/>
  <c r="AH34" i="20" s="1"/>
  <c r="AH3" i="1" s="1"/>
  <c r="AF27" i="20"/>
  <c r="AF34" i="20" s="1"/>
  <c r="AF3" i="1" s="1"/>
  <c r="AA27" i="20"/>
  <c r="AA34" i="20" s="1"/>
  <c r="AA3" i="1" s="1"/>
  <c r="AI27" i="20"/>
  <c r="AI34" i="20" s="1"/>
  <c r="AI3" i="1" s="1"/>
  <c r="E3" i="20"/>
  <c r="Z27" i="20"/>
  <c r="AK27" i="20"/>
  <c r="AK34" i="20" s="1"/>
  <c r="AK3" i="1" s="1"/>
  <c r="AD27" i="20"/>
  <c r="AD34" i="20" s="1"/>
  <c r="AD3" i="1" s="1"/>
  <c r="AG27" i="20"/>
  <c r="AG34" i="20" s="1"/>
  <c r="AG3" i="1" s="1"/>
  <c r="AJ27" i="20"/>
  <c r="AJ34" i="20" s="1"/>
  <c r="AJ3" i="1" s="1"/>
  <c r="AC27" i="20"/>
  <c r="AC34" i="20" s="1"/>
  <c r="AC3" i="1" s="1"/>
  <c r="AE27" i="20"/>
  <c r="AE34" i="20" s="1"/>
  <c r="AE3" i="1" s="1"/>
  <c r="D10" i="20"/>
  <c r="C20" i="2"/>
  <c r="C3" i="2" s="1"/>
  <c r="D19" i="2"/>
  <c r="B13" i="19"/>
  <c r="B10" i="8"/>
  <c r="C34" i="2"/>
  <c r="C4" i="2" s="1"/>
  <c r="C45" i="2" s="1"/>
  <c r="D33" i="2"/>
  <c r="H10" i="1"/>
  <c r="G15" i="7"/>
  <c r="G16" i="9" s="1"/>
  <c r="E7" i="20"/>
  <c r="Z31" i="20"/>
  <c r="D41" i="20" s="1"/>
  <c r="O8" i="7"/>
  <c r="C8" i="7"/>
  <c r="H8" i="7"/>
  <c r="AO22" i="20"/>
  <c r="P8" i="7"/>
  <c r="AS22" i="20"/>
  <c r="F8" i="7"/>
  <c r="B14" i="9"/>
  <c r="G9" i="21"/>
  <c r="H3" i="21"/>
  <c r="E8" i="7"/>
  <c r="E6" i="1"/>
  <c r="D11" i="7"/>
  <c r="G9" i="1"/>
  <c r="F14" i="7"/>
  <c r="F15" i="9" s="1"/>
  <c r="D10" i="19"/>
  <c r="C19" i="9"/>
  <c r="I9" i="9"/>
  <c r="U8" i="7"/>
  <c r="Z28" i="20"/>
  <c r="D38" i="20" s="1"/>
  <c r="E4" i="20"/>
  <c r="E9" i="20"/>
  <c r="Z33" i="20"/>
  <c r="D43" i="20" s="1"/>
  <c r="E43" i="21"/>
  <c r="Y8" i="7"/>
  <c r="W8" i="7"/>
  <c r="AP22" i="20"/>
  <c r="Z29" i="20"/>
  <c r="D39" i="20" s="1"/>
  <c r="E5" i="20"/>
  <c r="AW22" i="20"/>
  <c r="BC17" i="20"/>
  <c r="BC29" i="20" s="1"/>
  <c r="AU22" i="20"/>
  <c r="M9" i="9"/>
  <c r="C4" i="8"/>
  <c r="BH17" i="20" l="1"/>
  <c r="BH29" i="20" s="1"/>
  <c r="BB17" i="20"/>
  <c r="BB29" i="20" s="1"/>
  <c r="AY17" i="20"/>
  <c r="AY29" i="20" s="1"/>
  <c r="BF17" i="20"/>
  <c r="BF29" i="20" s="1"/>
  <c r="BE17" i="20"/>
  <c r="BE29" i="20" s="1"/>
  <c r="BD17" i="20"/>
  <c r="BD29" i="20" s="1"/>
  <c r="D44" i="21"/>
  <c r="C44" i="20"/>
  <c r="F24" i="21"/>
  <c r="E34" i="21"/>
  <c r="AR29" i="20"/>
  <c r="AR22" i="20"/>
  <c r="F26" i="21"/>
  <c r="E36" i="21"/>
  <c r="E46" i="21" s="1"/>
  <c r="E56" i="21"/>
  <c r="E29" i="21"/>
  <c r="C54" i="21"/>
  <c r="C49" i="21"/>
  <c r="AZ17" i="20"/>
  <c r="D49" i="21"/>
  <c r="BI17" i="20"/>
  <c r="B14" i="1"/>
  <c r="BG17" i="20"/>
  <c r="BG29" i="20" s="1"/>
  <c r="BD22" i="20"/>
  <c r="AV22" i="20"/>
  <c r="D39" i="21"/>
  <c r="C12" i="1" s="1"/>
  <c r="C25" i="7" s="1"/>
  <c r="BA17" i="20"/>
  <c r="BA29" i="20" s="1"/>
  <c r="F35" i="21"/>
  <c r="F45" i="21" s="1"/>
  <c r="G25" i="21"/>
  <c r="AX17" i="20"/>
  <c r="AX22" i="20" s="1"/>
  <c r="E47" i="21"/>
  <c r="E57" i="21" s="1"/>
  <c r="D54" i="21"/>
  <c r="C5" i="8" s="1"/>
  <c r="D34" i="2"/>
  <c r="D4" i="2" s="1"/>
  <c r="D45" i="2" s="1"/>
  <c r="E33" i="2"/>
  <c r="AE8" i="7"/>
  <c r="S9" i="9"/>
  <c r="H9" i="9"/>
  <c r="R33" i="2"/>
  <c r="Q34" i="2"/>
  <c r="Q4" i="2" s="1"/>
  <c r="Q45" i="2" s="1"/>
  <c r="U9" i="9"/>
  <c r="BC22" i="20"/>
  <c r="Q9" i="9"/>
  <c r="F9" i="9"/>
  <c r="AN27" i="20"/>
  <c r="AN34" i="20" s="1"/>
  <c r="AN3" i="1" s="1"/>
  <c r="AR27" i="20"/>
  <c r="AL27" i="20"/>
  <c r="AS27" i="20"/>
  <c r="AS34" i="20" s="1"/>
  <c r="AS3" i="1" s="1"/>
  <c r="AO27" i="20"/>
  <c r="AO34" i="20" s="1"/>
  <c r="AO3" i="1" s="1"/>
  <c r="AW27" i="20"/>
  <c r="AW34" i="20" s="1"/>
  <c r="AW3" i="1" s="1"/>
  <c r="AU27" i="20"/>
  <c r="AU34" i="20" s="1"/>
  <c r="AU3" i="1" s="1"/>
  <c r="F3" i="20"/>
  <c r="AT27" i="20"/>
  <c r="AT34" i="20" s="1"/>
  <c r="AT3" i="1" s="1"/>
  <c r="AM27" i="20"/>
  <c r="AM34" i="20" s="1"/>
  <c r="AM3" i="1" s="1"/>
  <c r="AP27" i="20"/>
  <c r="AP34" i="20" s="1"/>
  <c r="AP3" i="1" s="1"/>
  <c r="AQ27" i="20"/>
  <c r="AQ34" i="20" s="1"/>
  <c r="AQ3" i="1" s="1"/>
  <c r="AV27" i="20"/>
  <c r="AV34" i="20" s="1"/>
  <c r="AV3" i="1" s="1"/>
  <c r="E10" i="20"/>
  <c r="H23" i="21"/>
  <c r="G33" i="21"/>
  <c r="D12" i="9"/>
  <c r="AL31" i="20"/>
  <c r="E41" i="20" s="1"/>
  <c r="F7" i="20"/>
  <c r="AX31" i="20" s="1"/>
  <c r="F41" i="20" s="1"/>
  <c r="D20" i="2"/>
  <c r="D3" i="2" s="1"/>
  <c r="E19" i="2"/>
  <c r="AI8" i="7"/>
  <c r="K9" i="9"/>
  <c r="AL32" i="20"/>
  <c r="E42" i="20" s="1"/>
  <c r="F8" i="20"/>
  <c r="AX32" i="20" s="1"/>
  <c r="F42" i="20" s="1"/>
  <c r="Y9" i="9"/>
  <c r="E10" i="19"/>
  <c r="D19" i="9"/>
  <c r="E11" i="7"/>
  <c r="E12" i="9" s="1"/>
  <c r="F6" i="1"/>
  <c r="C43" i="2"/>
  <c r="C44" i="2"/>
  <c r="C40" i="2"/>
  <c r="C42" i="2"/>
  <c r="C41" i="2"/>
  <c r="C6" i="2"/>
  <c r="AA8" i="7"/>
  <c r="H20" i="8"/>
  <c r="R9" i="9"/>
  <c r="G27" i="21"/>
  <c r="F37" i="21"/>
  <c r="F43" i="21"/>
  <c r="E53" i="21"/>
  <c r="AL28" i="20"/>
  <c r="E38" i="20" s="1"/>
  <c r="F4" i="20"/>
  <c r="AX28" i="20" s="1"/>
  <c r="F38" i="20" s="1"/>
  <c r="E9" i="9"/>
  <c r="I10" i="1"/>
  <c r="H15" i="7"/>
  <c r="H16" i="9" s="1"/>
  <c r="AF8" i="7"/>
  <c r="L9" i="9"/>
  <c r="AY22" i="20"/>
  <c r="P9" i="9"/>
  <c r="AH8" i="7"/>
  <c r="I3" i="21"/>
  <c r="H9" i="21"/>
  <c r="G7" i="1"/>
  <c r="F12" i="7"/>
  <c r="X9" i="9"/>
  <c r="AC8" i="7"/>
  <c r="N8" i="7"/>
  <c r="C17" i="1"/>
  <c r="AB8" i="7"/>
  <c r="G9" i="9"/>
  <c r="AL29" i="20"/>
  <c r="F5" i="20"/>
  <c r="AX29" i="20" s="1"/>
  <c r="V9" i="9"/>
  <c r="AJ8" i="7"/>
  <c r="J9" i="9"/>
  <c r="T9" i="9"/>
  <c r="BE22" i="20"/>
  <c r="C9" i="19"/>
  <c r="B17" i="8"/>
  <c r="B18" i="8" s="1"/>
  <c r="AG8" i="7"/>
  <c r="I10" i="9"/>
  <c r="F9" i="20"/>
  <c r="AX33" i="20" s="1"/>
  <c r="F43" i="20" s="1"/>
  <c r="AL33" i="20"/>
  <c r="E43" i="20" s="1"/>
  <c r="C9" i="9"/>
  <c r="AD8" i="7"/>
  <c r="K4" i="1"/>
  <c r="J9" i="7"/>
  <c r="J10" i="9" s="1"/>
  <c r="F5" i="1"/>
  <c r="E10" i="7"/>
  <c r="E11" i="9" s="1"/>
  <c r="BB22" i="20"/>
  <c r="AK8" i="7"/>
  <c r="D11" i="9"/>
  <c r="AL30" i="20"/>
  <c r="E40" i="20" s="1"/>
  <c r="F6" i="20"/>
  <c r="AX30" i="20" s="1"/>
  <c r="F40" i="20" s="1"/>
  <c r="W9" i="9"/>
  <c r="H9" i="1"/>
  <c r="G14" i="7"/>
  <c r="O9" i="9"/>
  <c r="D37" i="20"/>
  <c r="D44" i="20" s="1"/>
  <c r="Z34" i="20"/>
  <c r="Z3" i="1" s="1"/>
  <c r="B8" i="10"/>
  <c r="B9" i="9"/>
  <c r="B17" i="7"/>
  <c r="B19" i="7" s="1"/>
  <c r="B23" i="7" s="1"/>
  <c r="B27" i="7" s="1"/>
  <c r="BH22" i="20" l="1"/>
  <c r="BF22" i="20"/>
  <c r="E39" i="20"/>
  <c r="B5" i="8"/>
  <c r="C59" i="21"/>
  <c r="BA22" i="20"/>
  <c r="G26" i="21"/>
  <c r="F36" i="21"/>
  <c r="F46" i="21" s="1"/>
  <c r="F47" i="21"/>
  <c r="F57" i="21" s="1"/>
  <c r="BG22" i="20"/>
  <c r="F55" i="21"/>
  <c r="E6" i="8" s="1"/>
  <c r="D59" i="21"/>
  <c r="BI29" i="20"/>
  <c r="BI22" i="20"/>
  <c r="E39" i="21"/>
  <c r="D12" i="1" s="1"/>
  <c r="D25" i="7" s="1"/>
  <c r="G24" i="21"/>
  <c r="F34" i="21"/>
  <c r="F29" i="21"/>
  <c r="AR34" i="20"/>
  <c r="AR3" i="1" s="1"/>
  <c r="AR8" i="7" s="1"/>
  <c r="H25" i="21"/>
  <c r="G35" i="21"/>
  <c r="G45" i="21" s="1"/>
  <c r="AZ29" i="20"/>
  <c r="F39" i="20" s="1"/>
  <c r="AZ22" i="20"/>
  <c r="E44" i="21"/>
  <c r="AV8" i="7"/>
  <c r="G15" i="9"/>
  <c r="AQ8" i="7"/>
  <c r="H14" i="7"/>
  <c r="H15" i="9" s="1"/>
  <c r="I9" i="1"/>
  <c r="AB9" i="9"/>
  <c r="B9" i="17"/>
  <c r="L4" i="1"/>
  <c r="K9" i="7"/>
  <c r="AG9" i="9"/>
  <c r="AO8" i="7"/>
  <c r="Z8" i="7"/>
  <c r="D17" i="1"/>
  <c r="AS8" i="7"/>
  <c r="C11" i="19"/>
  <c r="AA9" i="9"/>
  <c r="I23" i="21"/>
  <c r="H33" i="21"/>
  <c r="E37" i="20"/>
  <c r="E44" i="20" s="1"/>
  <c r="AL34" i="20"/>
  <c r="AL3" i="1" s="1"/>
  <c r="AE9" i="9"/>
  <c r="AK9" i="9"/>
  <c r="AD9" i="9"/>
  <c r="D4" i="8"/>
  <c r="C3" i="7"/>
  <c r="C8" i="1"/>
  <c r="C7" i="22"/>
  <c r="F10" i="19"/>
  <c r="E19" i="9"/>
  <c r="AI9" i="9"/>
  <c r="E34" i="2"/>
  <c r="E4" i="2" s="1"/>
  <c r="E45" i="2" s="1"/>
  <c r="F33" i="2"/>
  <c r="G43" i="21"/>
  <c r="F53" i="21"/>
  <c r="AN8" i="7"/>
  <c r="D40" i="2"/>
  <c r="D41" i="2"/>
  <c r="D43" i="2"/>
  <c r="D6" i="2"/>
  <c r="D42" i="2"/>
  <c r="D44" i="2"/>
  <c r="S33" i="2"/>
  <c r="R34" i="2"/>
  <c r="R4" i="2" s="1"/>
  <c r="R45" i="2" s="1"/>
  <c r="F13" i="9"/>
  <c r="C47" i="2"/>
  <c r="C4" i="7" s="1"/>
  <c r="AP8" i="7"/>
  <c r="AM8" i="7"/>
  <c r="AT8" i="7"/>
  <c r="G5" i="1"/>
  <c r="F10" i="7"/>
  <c r="E20" i="2"/>
  <c r="E3" i="2" s="1"/>
  <c r="F19" i="2"/>
  <c r="AF9" i="9"/>
  <c r="G12" i="7"/>
  <c r="G13" i="9" s="1"/>
  <c r="H7" i="1"/>
  <c r="G37" i="21"/>
  <c r="H27" i="21"/>
  <c r="C8" i="10"/>
  <c r="N9" i="9"/>
  <c r="I9" i="21"/>
  <c r="J3" i="21"/>
  <c r="BH27" i="20"/>
  <c r="BH34" i="20" s="1"/>
  <c r="BH3" i="1" s="1"/>
  <c r="BF27" i="20"/>
  <c r="BF34" i="20" s="1"/>
  <c r="BF3" i="1" s="1"/>
  <c r="AZ27" i="20"/>
  <c r="BD27" i="20"/>
  <c r="BD34" i="20" s="1"/>
  <c r="BD3" i="1" s="1"/>
  <c r="BG27" i="20"/>
  <c r="BG34" i="20" s="1"/>
  <c r="BG3" i="1" s="1"/>
  <c r="BC27" i="20"/>
  <c r="BC34" i="20" s="1"/>
  <c r="BC3" i="1" s="1"/>
  <c r="AY27" i="20"/>
  <c r="AY34" i="20" s="1"/>
  <c r="AY3" i="1" s="1"/>
  <c r="BA27" i="20"/>
  <c r="BA34" i="20" s="1"/>
  <c r="BA3" i="1" s="1"/>
  <c r="F10" i="20"/>
  <c r="BE27" i="20"/>
  <c r="BE34" i="20" s="1"/>
  <c r="BE3" i="1" s="1"/>
  <c r="BI27" i="20"/>
  <c r="BI34" i="20" s="1"/>
  <c r="BI3" i="1" s="1"/>
  <c r="AX27" i="20"/>
  <c r="BB27" i="20"/>
  <c r="BB34" i="20" s="1"/>
  <c r="BB3" i="1" s="1"/>
  <c r="AJ9" i="9"/>
  <c r="I15" i="7"/>
  <c r="J10" i="1"/>
  <c r="G6" i="1"/>
  <c r="F11" i="7"/>
  <c r="AU8" i="7"/>
  <c r="B9" i="4"/>
  <c r="AC9" i="9"/>
  <c r="AH9" i="9"/>
  <c r="I20" i="8"/>
  <c r="AW8" i="7"/>
  <c r="F44" i="21" l="1"/>
  <c r="F54" i="21" s="1"/>
  <c r="E5" i="8" s="1"/>
  <c r="F49" i="21"/>
  <c r="G55" i="21"/>
  <c r="F6" i="8" s="1"/>
  <c r="AZ34" i="20"/>
  <c r="AZ3" i="1" s="1"/>
  <c r="AZ8" i="7" s="1"/>
  <c r="I25" i="21"/>
  <c r="H35" i="21"/>
  <c r="H45" i="21" s="1"/>
  <c r="H26" i="21"/>
  <c r="G36" i="21"/>
  <c r="G46" i="21" s="1"/>
  <c r="F39" i="21"/>
  <c r="E12" i="1" s="1"/>
  <c r="E25" i="7" s="1"/>
  <c r="G29" i="21"/>
  <c r="G34" i="21"/>
  <c r="G44" i="21" s="1"/>
  <c r="G54" i="21" s="1"/>
  <c r="F5" i="8" s="1"/>
  <c r="H24" i="21"/>
  <c r="F56" i="21"/>
  <c r="F59" i="21" s="1"/>
  <c r="E54" i="21"/>
  <c r="D5" i="8" s="1"/>
  <c r="E49" i="21"/>
  <c r="C5" i="7"/>
  <c r="AS9" i="9"/>
  <c r="BB8" i="7"/>
  <c r="K10" i="1"/>
  <c r="J15" i="7"/>
  <c r="J16" i="9" s="1"/>
  <c r="AY8" i="7"/>
  <c r="C9" i="4"/>
  <c r="I7" i="1"/>
  <c r="H12" i="7"/>
  <c r="H5" i="1"/>
  <c r="G10" i="7"/>
  <c r="E4" i="8"/>
  <c r="D8" i="10"/>
  <c r="Z9" i="9"/>
  <c r="I16" i="9"/>
  <c r="BC8" i="7"/>
  <c r="C9" i="17"/>
  <c r="G10" i="19"/>
  <c r="F19" i="9"/>
  <c r="K10" i="9"/>
  <c r="AQ9" i="9"/>
  <c r="BG8" i="7"/>
  <c r="H43" i="21"/>
  <c r="G53" i="21"/>
  <c r="C11" i="22"/>
  <c r="C15" i="22" s="1"/>
  <c r="C9" i="22"/>
  <c r="C13" i="22" s="1"/>
  <c r="C4" i="9" s="1"/>
  <c r="C11" i="1"/>
  <c r="C12" i="19"/>
  <c r="L9" i="7"/>
  <c r="M4" i="1"/>
  <c r="BD8" i="7"/>
  <c r="S34" i="2"/>
  <c r="S4" i="2" s="1"/>
  <c r="S45" i="2" s="1"/>
  <c r="T33" i="2"/>
  <c r="C13" i="7"/>
  <c r="C14" i="1"/>
  <c r="I27" i="21"/>
  <c r="H37" i="21"/>
  <c r="AT9" i="9"/>
  <c r="G33" i="2"/>
  <c r="F34" i="2"/>
  <c r="F4" i="2" s="1"/>
  <c r="F45" i="2" s="1"/>
  <c r="BF8" i="7"/>
  <c r="AL8" i="7"/>
  <c r="E17" i="1"/>
  <c r="BH8" i="7"/>
  <c r="F20" i="2"/>
  <c r="F3" i="2" s="1"/>
  <c r="G19" i="2"/>
  <c r="AM9" i="9"/>
  <c r="D3" i="7"/>
  <c r="D8" i="1"/>
  <c r="D7" i="22"/>
  <c r="AO9" i="9"/>
  <c r="AV9" i="9"/>
  <c r="F37" i="20"/>
  <c r="F44" i="20" s="1"/>
  <c r="AX34" i="20"/>
  <c r="AX3" i="1" s="1"/>
  <c r="E41" i="2"/>
  <c r="E44" i="2"/>
  <c r="E6" i="2"/>
  <c r="E40" i="2"/>
  <c r="E42" i="2"/>
  <c r="E43" i="2"/>
  <c r="G47" i="21"/>
  <c r="BI8" i="7"/>
  <c r="AR9" i="9"/>
  <c r="AW9" i="9"/>
  <c r="AU9" i="9"/>
  <c r="BE8" i="7"/>
  <c r="D47" i="2"/>
  <c r="D4" i="7" s="1"/>
  <c r="D20" i="9" s="1"/>
  <c r="F12" i="9"/>
  <c r="K3" i="21"/>
  <c r="J9" i="21"/>
  <c r="AP9" i="9"/>
  <c r="J23" i="21"/>
  <c r="I33" i="21"/>
  <c r="J9" i="1"/>
  <c r="I14" i="7"/>
  <c r="J20" i="8"/>
  <c r="H6" i="1"/>
  <c r="G11" i="7"/>
  <c r="G12" i="9" s="1"/>
  <c r="BA8" i="7"/>
  <c r="F11" i="9"/>
  <c r="C20" i="9"/>
  <c r="AN9" i="9"/>
  <c r="G49" i="21" l="1"/>
  <c r="G56" i="21"/>
  <c r="H55" i="21"/>
  <c r="G6" i="8" s="1"/>
  <c r="I24" i="21"/>
  <c r="H34" i="21"/>
  <c r="H44" i="21" s="1"/>
  <c r="H54" i="21" s="1"/>
  <c r="G5" i="8" s="1"/>
  <c r="H29" i="21"/>
  <c r="E59" i="21"/>
  <c r="I35" i="21"/>
  <c r="I45" i="21" s="1"/>
  <c r="J25" i="21"/>
  <c r="I26" i="21"/>
  <c r="H36" i="21"/>
  <c r="H46" i="21" s="1"/>
  <c r="G39" i="21"/>
  <c r="F12" i="1" s="1"/>
  <c r="F25" i="7" s="1"/>
  <c r="D5" i="7"/>
  <c r="K9" i="1"/>
  <c r="J14" i="7"/>
  <c r="J15" i="9" s="1"/>
  <c r="BD9" i="9"/>
  <c r="AY9" i="9"/>
  <c r="E47" i="2"/>
  <c r="E4" i="7" s="1"/>
  <c r="E8" i="10"/>
  <c r="AL9" i="9"/>
  <c r="M9" i="7"/>
  <c r="N4" i="1"/>
  <c r="B18" i="1"/>
  <c r="BG9" i="9"/>
  <c r="H10" i="19"/>
  <c r="G19" i="9"/>
  <c r="AZ9" i="9"/>
  <c r="K23" i="21"/>
  <c r="J33" i="21"/>
  <c r="I6" i="1"/>
  <c r="H11" i="7"/>
  <c r="G20" i="2"/>
  <c r="G3" i="2" s="1"/>
  <c r="H19" i="2"/>
  <c r="H33" i="2"/>
  <c r="G34" i="2"/>
  <c r="G4" i="2" s="1"/>
  <c r="G45" i="2" s="1"/>
  <c r="C6" i="9"/>
  <c r="H13" i="9"/>
  <c r="BE9" i="9"/>
  <c r="F44" i="2"/>
  <c r="F40" i="2"/>
  <c r="F6" i="2"/>
  <c r="F41" i="2"/>
  <c r="F42" i="2"/>
  <c r="F43" i="2"/>
  <c r="C14" i="9"/>
  <c r="C17" i="7"/>
  <c r="C19" i="7" s="1"/>
  <c r="C10" i="8"/>
  <c r="J7" i="1"/>
  <c r="I12" i="7"/>
  <c r="I13" i="9" s="1"/>
  <c r="K20" i="8"/>
  <c r="BI9" i="9"/>
  <c r="U33" i="2"/>
  <c r="T34" i="2"/>
  <c r="T4" i="2" s="1"/>
  <c r="T45" i="2" s="1"/>
  <c r="F4" i="8"/>
  <c r="I15" i="9"/>
  <c r="H47" i="21"/>
  <c r="G57" i="21"/>
  <c r="G59" i="21" s="1"/>
  <c r="BH9" i="9"/>
  <c r="I43" i="21"/>
  <c r="H53" i="21"/>
  <c r="D9" i="4"/>
  <c r="K9" i="21"/>
  <c r="L3" i="21"/>
  <c r="D9" i="17"/>
  <c r="I37" i="21"/>
  <c r="J27" i="21"/>
  <c r="D9" i="22"/>
  <c r="D13" i="22" s="1"/>
  <c r="D4" i="9" s="1"/>
  <c r="D6" i="9" s="1"/>
  <c r="D11" i="22"/>
  <c r="D15" i="22" s="1"/>
  <c r="BA9" i="9"/>
  <c r="E3" i="7"/>
  <c r="E7" i="22"/>
  <c r="E8" i="1"/>
  <c r="D13" i="7"/>
  <c r="L10" i="9"/>
  <c r="K15" i="7"/>
  <c r="K16" i="9" s="1"/>
  <c r="L10" i="1"/>
  <c r="BF9" i="9"/>
  <c r="C13" i="19"/>
  <c r="G11" i="9"/>
  <c r="I5" i="1"/>
  <c r="H10" i="7"/>
  <c r="BB9" i="9"/>
  <c r="F17" i="1"/>
  <c r="AX8" i="7"/>
  <c r="C21" i="7"/>
  <c r="BC9" i="9"/>
  <c r="I55" i="21" l="1"/>
  <c r="H6" i="8" s="1"/>
  <c r="H56" i="21"/>
  <c r="K25" i="21"/>
  <c r="J35" i="21"/>
  <c r="J45" i="21" s="1"/>
  <c r="I34" i="21"/>
  <c r="J24" i="21"/>
  <c r="H39" i="21"/>
  <c r="G12" i="1" s="1"/>
  <c r="G25" i="7" s="1"/>
  <c r="I36" i="21"/>
  <c r="I46" i="21" s="1"/>
  <c r="J26" i="21"/>
  <c r="I29" i="21"/>
  <c r="C23" i="7"/>
  <c r="C27" i="7" s="1"/>
  <c r="D10" i="8"/>
  <c r="I47" i="21"/>
  <c r="H57" i="21"/>
  <c r="H59" i="21" s="1"/>
  <c r="H11" i="9"/>
  <c r="D9" i="19"/>
  <c r="C17" i="8"/>
  <c r="C18" i="8" s="1"/>
  <c r="E9" i="4"/>
  <c r="E9" i="17"/>
  <c r="I10" i="7"/>
  <c r="J5" i="1"/>
  <c r="D14" i="9"/>
  <c r="D17" i="7"/>
  <c r="D19" i="7" s="1"/>
  <c r="E13" i="7"/>
  <c r="L9" i="1"/>
  <c r="K14" i="7"/>
  <c r="E11" i="22"/>
  <c r="E15" i="22" s="1"/>
  <c r="E9" i="22"/>
  <c r="E13" i="22" s="1"/>
  <c r="E4" i="9" s="1"/>
  <c r="L20" i="8"/>
  <c r="F7" i="22"/>
  <c r="F8" i="1"/>
  <c r="F3" i="7"/>
  <c r="E20" i="9"/>
  <c r="H12" i="9"/>
  <c r="U34" i="2"/>
  <c r="U4" i="2" s="1"/>
  <c r="U45" i="2" s="1"/>
  <c r="V33" i="2"/>
  <c r="J6" i="1"/>
  <c r="I11" i="7"/>
  <c r="I12" i="9" s="1"/>
  <c r="L9" i="21"/>
  <c r="M3" i="21"/>
  <c r="N9" i="7"/>
  <c r="O4" i="1"/>
  <c r="M10" i="9"/>
  <c r="B9" i="10"/>
  <c r="K33" i="21"/>
  <c r="L23" i="21"/>
  <c r="E5" i="7"/>
  <c r="G4" i="8"/>
  <c r="F47" i="2"/>
  <c r="F4" i="7" s="1"/>
  <c r="F20" i="9" s="1"/>
  <c r="H34" i="2"/>
  <c r="H4" i="2" s="1"/>
  <c r="H45" i="2" s="1"/>
  <c r="I33" i="2"/>
  <c r="I10" i="19"/>
  <c r="H19" i="9"/>
  <c r="M10" i="1"/>
  <c r="B24" i="1" s="1"/>
  <c r="L15" i="7"/>
  <c r="L16" i="9" s="1"/>
  <c r="J37" i="21"/>
  <c r="K27" i="21"/>
  <c r="H49" i="21"/>
  <c r="J12" i="7"/>
  <c r="K7" i="1"/>
  <c r="H20" i="2"/>
  <c r="H3" i="2" s="1"/>
  <c r="I19" i="2"/>
  <c r="F8" i="10"/>
  <c r="AX9" i="9"/>
  <c r="J43" i="21"/>
  <c r="I53" i="21"/>
  <c r="G43" i="2"/>
  <c r="G44" i="2"/>
  <c r="G6" i="2"/>
  <c r="G40" i="2"/>
  <c r="G41" i="2"/>
  <c r="G42" i="2"/>
  <c r="J29" i="21" l="1"/>
  <c r="I56" i="21"/>
  <c r="J55" i="21"/>
  <c r="I6" i="8" s="1"/>
  <c r="K24" i="21"/>
  <c r="J34" i="21"/>
  <c r="I44" i="21"/>
  <c r="I39" i="21"/>
  <c r="H12" i="1" s="1"/>
  <c r="H25" i="7" s="1"/>
  <c r="L25" i="21"/>
  <c r="K35" i="21"/>
  <c r="K45" i="21" s="1"/>
  <c r="K26" i="21"/>
  <c r="J36" i="21"/>
  <c r="J46" i="21" s="1"/>
  <c r="I34" i="2"/>
  <c r="I4" i="2" s="1"/>
  <c r="I45" i="2" s="1"/>
  <c r="J33" i="2"/>
  <c r="L27" i="21"/>
  <c r="K37" i="21"/>
  <c r="F5" i="7"/>
  <c r="K5" i="1"/>
  <c r="J10" i="7"/>
  <c r="K6" i="1"/>
  <c r="J11" i="7"/>
  <c r="J12" i="9" s="1"/>
  <c r="J19" i="2"/>
  <c r="I20" i="2"/>
  <c r="I3" i="2" s="1"/>
  <c r="E6" i="9"/>
  <c r="B10" i="17"/>
  <c r="N3" i="21"/>
  <c r="M9" i="21"/>
  <c r="F9" i="4"/>
  <c r="F11" i="22"/>
  <c r="F15" i="22" s="1"/>
  <c r="F9" i="22"/>
  <c r="F13" i="22" s="1"/>
  <c r="F4" i="9" s="1"/>
  <c r="F6" i="9" s="1"/>
  <c r="H4" i="8"/>
  <c r="H44" i="2"/>
  <c r="H41" i="2"/>
  <c r="H43" i="2"/>
  <c r="H42" i="2"/>
  <c r="H6" i="2"/>
  <c r="H40" i="2"/>
  <c r="M23" i="21"/>
  <c r="L33" i="21"/>
  <c r="O9" i="7"/>
  <c r="P4" i="1"/>
  <c r="D11" i="19"/>
  <c r="G47" i="2"/>
  <c r="G4" i="7" s="1"/>
  <c r="F13" i="7"/>
  <c r="I11" i="9"/>
  <c r="V34" i="2"/>
  <c r="V4" i="2" s="1"/>
  <c r="V45" i="2" s="1"/>
  <c r="W33" i="2"/>
  <c r="J47" i="21"/>
  <c r="I57" i="21"/>
  <c r="K43" i="21"/>
  <c r="J53" i="21"/>
  <c r="L7" i="1"/>
  <c r="K12" i="7"/>
  <c r="K13" i="9" s="1"/>
  <c r="J10" i="19"/>
  <c r="I19" i="9"/>
  <c r="N10" i="9"/>
  <c r="K15" i="9"/>
  <c r="B10" i="4"/>
  <c r="G7" i="22"/>
  <c r="G3" i="7"/>
  <c r="G8" i="1"/>
  <c r="E14" i="9"/>
  <c r="E17" i="7"/>
  <c r="E19" i="7" s="1"/>
  <c r="E10" i="8"/>
  <c r="J13" i="9"/>
  <c r="M9" i="1"/>
  <c r="L14" i="7"/>
  <c r="L15" i="9" s="1"/>
  <c r="F9" i="17"/>
  <c r="N10" i="1"/>
  <c r="M15" i="7"/>
  <c r="M20" i="8"/>
  <c r="K55" i="21" l="1"/>
  <c r="J6" i="8" s="1"/>
  <c r="J56" i="21"/>
  <c r="K36" i="21"/>
  <c r="K46" i="21" s="1"/>
  <c r="K56" i="21" s="1"/>
  <c r="L26" i="21"/>
  <c r="M25" i="21"/>
  <c r="L35" i="21"/>
  <c r="L45" i="21" s="1"/>
  <c r="J39" i="21"/>
  <c r="I12" i="1" s="1"/>
  <c r="I25" i="7" s="1"/>
  <c r="J44" i="21"/>
  <c r="I54" i="21"/>
  <c r="H5" i="8" s="1"/>
  <c r="I49" i="21"/>
  <c r="K34" i="21"/>
  <c r="L24" i="21"/>
  <c r="K29" i="21"/>
  <c r="O10" i="1"/>
  <c r="N15" i="7"/>
  <c r="J11" i="9"/>
  <c r="I4" i="8"/>
  <c r="G20" i="9"/>
  <c r="P9" i="7"/>
  <c r="Q4" i="1"/>
  <c r="O10" i="9"/>
  <c r="M27" i="21"/>
  <c r="L37" i="21"/>
  <c r="N23" i="21"/>
  <c r="M33" i="21"/>
  <c r="B20" i="3"/>
  <c r="N20" i="8"/>
  <c r="G13" i="7"/>
  <c r="D11" i="1"/>
  <c r="D12" i="19"/>
  <c r="H47" i="2"/>
  <c r="H4" i="7" s="1"/>
  <c r="H20" i="9" s="1"/>
  <c r="I41" i="2"/>
  <c r="I42" i="2"/>
  <c r="I6" i="2"/>
  <c r="I44" i="2"/>
  <c r="I40" i="2"/>
  <c r="I43" i="2"/>
  <c r="K33" i="2"/>
  <c r="J34" i="2"/>
  <c r="J4" i="2" s="1"/>
  <c r="J45" i="2" s="1"/>
  <c r="N9" i="1"/>
  <c r="M14" i="7"/>
  <c r="B23" i="1"/>
  <c r="G5" i="7"/>
  <c r="H3" i="7"/>
  <c r="H8" i="1"/>
  <c r="H7" i="22"/>
  <c r="N9" i="21"/>
  <c r="O3" i="21"/>
  <c r="J20" i="2"/>
  <c r="J3" i="2" s="1"/>
  <c r="K19" i="2"/>
  <c r="G9" i="22"/>
  <c r="G13" i="22" s="1"/>
  <c r="G4" i="9" s="1"/>
  <c r="G6" i="9" s="1"/>
  <c r="G11" i="22"/>
  <c r="G15" i="22" s="1"/>
  <c r="K47" i="21"/>
  <c r="J57" i="21"/>
  <c r="W34" i="2"/>
  <c r="W4" i="2" s="1"/>
  <c r="W45" i="2" s="1"/>
  <c r="X33" i="2"/>
  <c r="F14" i="9"/>
  <c r="F17" i="7"/>
  <c r="F19" i="7" s="1"/>
  <c r="L43" i="21"/>
  <c r="K53" i="21"/>
  <c r="K10" i="19"/>
  <c r="J19" i="9"/>
  <c r="L6" i="1"/>
  <c r="K11" i="7"/>
  <c r="K12" i="9" s="1"/>
  <c r="L5" i="1"/>
  <c r="K10" i="7"/>
  <c r="L12" i="7"/>
  <c r="L13" i="9" s="1"/>
  <c r="M7" i="1"/>
  <c r="M16" i="9"/>
  <c r="B16" i="4" s="1"/>
  <c r="B15" i="10"/>
  <c r="B16" i="17" s="1"/>
  <c r="F10" i="8"/>
  <c r="L29" i="21" l="1"/>
  <c r="L55" i="21"/>
  <c r="K6" i="8" s="1"/>
  <c r="I59" i="21"/>
  <c r="J54" i="21"/>
  <c r="I5" i="8" s="1"/>
  <c r="J49" i="21"/>
  <c r="N25" i="21"/>
  <c r="M35" i="21"/>
  <c r="M45" i="21" s="1"/>
  <c r="J59" i="21"/>
  <c r="K44" i="21"/>
  <c r="M26" i="21"/>
  <c r="L36" i="21"/>
  <c r="L46" i="21" s="1"/>
  <c r="M24" i="21"/>
  <c r="L34" i="21"/>
  <c r="K39" i="21"/>
  <c r="J12" i="1" s="1"/>
  <c r="J25" i="7" s="1"/>
  <c r="G10" i="8"/>
  <c r="L47" i="21"/>
  <c r="K57" i="21"/>
  <c r="M43" i="21"/>
  <c r="L53" i="21"/>
  <c r="M15" i="9"/>
  <c r="B15" i="4" s="1"/>
  <c r="B14" i="10"/>
  <c r="B15" i="17" s="1"/>
  <c r="D13" i="19"/>
  <c r="N14" i="7"/>
  <c r="O9" i="1"/>
  <c r="D21" i="7"/>
  <c r="D14" i="1"/>
  <c r="N27" i="21"/>
  <c r="M37" i="21"/>
  <c r="L33" i="2"/>
  <c r="K34" i="2"/>
  <c r="K4" i="2" s="1"/>
  <c r="K45" i="2" s="1"/>
  <c r="O20" i="8"/>
  <c r="N16" i="9"/>
  <c r="J42" i="2"/>
  <c r="J43" i="2"/>
  <c r="J41" i="2"/>
  <c r="J44" i="2"/>
  <c r="J6" i="2"/>
  <c r="J40" i="2"/>
  <c r="G14" i="9"/>
  <c r="G17" i="7"/>
  <c r="G19" i="7" s="1"/>
  <c r="K19" i="9"/>
  <c r="L10" i="19"/>
  <c r="M5" i="1"/>
  <c r="L10" i="7"/>
  <c r="Y33" i="2"/>
  <c r="X34" i="2"/>
  <c r="X4" i="2" s="1"/>
  <c r="X45" i="2" s="1"/>
  <c r="H11" i="22"/>
  <c r="H15" i="22" s="1"/>
  <c r="H9" i="22"/>
  <c r="H13" i="22" s="1"/>
  <c r="H4" i="9" s="1"/>
  <c r="J4" i="8"/>
  <c r="O23" i="21"/>
  <c r="N33" i="21"/>
  <c r="N7" i="1"/>
  <c r="M12" i="7"/>
  <c r="B21" i="1"/>
  <c r="K20" i="2"/>
  <c r="K3" i="2" s="1"/>
  <c r="L19" i="2"/>
  <c r="O15" i="7"/>
  <c r="O16" i="9" s="1"/>
  <c r="P10" i="1"/>
  <c r="O9" i="21"/>
  <c r="P3" i="21"/>
  <c r="K11" i="9"/>
  <c r="I47" i="2"/>
  <c r="I4" i="7" s="1"/>
  <c r="I20" i="9" s="1"/>
  <c r="H13" i="7"/>
  <c r="I3" i="7"/>
  <c r="I8" i="1"/>
  <c r="I7" i="22"/>
  <c r="M6" i="1"/>
  <c r="L11" i="7"/>
  <c r="L12" i="9" s="1"/>
  <c r="H5" i="7"/>
  <c r="R4" i="1"/>
  <c r="Q9" i="7"/>
  <c r="P10" i="9"/>
  <c r="M55" i="21" l="1"/>
  <c r="L6" i="8" s="1"/>
  <c r="N26" i="21"/>
  <c r="M36" i="21"/>
  <c r="M46" i="21" s="1"/>
  <c r="M56" i="21" s="1"/>
  <c r="O25" i="21"/>
  <c r="N35" i="21"/>
  <c r="N45" i="21" s="1"/>
  <c r="L56" i="21"/>
  <c r="K54" i="21"/>
  <c r="J5" i="8" s="1"/>
  <c r="K49" i="21"/>
  <c r="L44" i="21"/>
  <c r="L39" i="21"/>
  <c r="K12" i="1" s="1"/>
  <c r="K25" i="7" s="1"/>
  <c r="M29" i="21"/>
  <c r="I5" i="7"/>
  <c r="M34" i="21"/>
  <c r="N24" i="21"/>
  <c r="J47" i="2"/>
  <c r="J4" i="7" s="1"/>
  <c r="J20" i="9" s="1"/>
  <c r="H10" i="8"/>
  <c r="I13" i="7"/>
  <c r="H6" i="9"/>
  <c r="O27" i="21"/>
  <c r="N37" i="21"/>
  <c r="L20" i="2"/>
  <c r="L3" i="2" s="1"/>
  <c r="M19" i="2"/>
  <c r="Q10" i="9"/>
  <c r="H14" i="9"/>
  <c r="H17" i="7"/>
  <c r="H19" i="7" s="1"/>
  <c r="J8" i="1"/>
  <c r="J3" i="7"/>
  <c r="J5" i="7" s="1"/>
  <c r="J7" i="22"/>
  <c r="Z33" i="2"/>
  <c r="Y34" i="2"/>
  <c r="Y4" i="2" s="1"/>
  <c r="Y45" i="2" s="1"/>
  <c r="L34" i="2"/>
  <c r="L4" i="2" s="1"/>
  <c r="L45" i="2" s="1"/>
  <c r="M33" i="2"/>
  <c r="M34" i="2" s="1"/>
  <c r="M4" i="2" s="1"/>
  <c r="M45" i="2" s="1"/>
  <c r="N12" i="7"/>
  <c r="O7" i="1"/>
  <c r="L11" i="9"/>
  <c r="N5" i="1"/>
  <c r="M10" i="7"/>
  <c r="B19" i="1"/>
  <c r="N15" i="9"/>
  <c r="M47" i="21"/>
  <c r="L57" i="21"/>
  <c r="N6" i="1"/>
  <c r="M11" i="7"/>
  <c r="B20" i="1"/>
  <c r="O33" i="21"/>
  <c r="P23" i="21"/>
  <c r="M10" i="19"/>
  <c r="L19" i="9"/>
  <c r="E9" i="19"/>
  <c r="D17" i="8"/>
  <c r="D18" i="8" s="1"/>
  <c r="P9" i="21"/>
  <c r="Q3" i="21"/>
  <c r="N29" i="21"/>
  <c r="K4" i="8"/>
  <c r="P20" i="8"/>
  <c r="N43" i="21"/>
  <c r="M53" i="21"/>
  <c r="K40" i="2"/>
  <c r="K42" i="2"/>
  <c r="K6" i="2"/>
  <c r="K43" i="2"/>
  <c r="K41" i="2"/>
  <c r="K44" i="2"/>
  <c r="R9" i="7"/>
  <c r="S4" i="1"/>
  <c r="D23" i="7"/>
  <c r="D27" i="7" s="1"/>
  <c r="M13" i="9"/>
  <c r="B13" i="4" s="1"/>
  <c r="B12" i="10"/>
  <c r="B13" i="17" s="1"/>
  <c r="P9" i="1"/>
  <c r="O14" i="7"/>
  <c r="O15" i="9" s="1"/>
  <c r="I11" i="22"/>
  <c r="I15" i="22" s="1"/>
  <c r="I9" i="22"/>
  <c r="I13" i="22" s="1"/>
  <c r="I4" i="9" s="1"/>
  <c r="I6" i="9" s="1"/>
  <c r="Q10" i="1"/>
  <c r="P15" i="7"/>
  <c r="P16" i="9" s="1"/>
  <c r="N55" i="21" l="1"/>
  <c r="M6" i="8" s="1"/>
  <c r="B6" i="3" s="1"/>
  <c r="N34" i="21"/>
  <c r="O24" i="21"/>
  <c r="P25" i="21"/>
  <c r="O35" i="21"/>
  <c r="O45" i="21" s="1"/>
  <c r="M44" i="21"/>
  <c r="M39" i="21"/>
  <c r="L12" i="1" s="1"/>
  <c r="L25" i="7" s="1"/>
  <c r="L54" i="21"/>
  <c r="K5" i="8" s="1"/>
  <c r="L49" i="21"/>
  <c r="K59" i="21"/>
  <c r="O26" i="21"/>
  <c r="N36" i="21"/>
  <c r="N46" i="21" s="1"/>
  <c r="N56" i="21" s="1"/>
  <c r="I10" i="8"/>
  <c r="O5" i="1"/>
  <c r="N10" i="7"/>
  <c r="O37" i="21"/>
  <c r="P27" i="21"/>
  <c r="M12" i="9"/>
  <c r="B12" i="4" s="1"/>
  <c r="B11" i="10"/>
  <c r="B12" i="17" s="1"/>
  <c r="E11" i="19"/>
  <c r="N11" i="7"/>
  <c r="O6" i="1"/>
  <c r="J13" i="7"/>
  <c r="Q9" i="1"/>
  <c r="P14" i="7"/>
  <c r="P15" i="9" s="1"/>
  <c r="K7" i="22"/>
  <c r="K8" i="1"/>
  <c r="K3" i="7"/>
  <c r="J9" i="22"/>
  <c r="J13" i="22" s="1"/>
  <c r="J4" i="9" s="1"/>
  <c r="J6" i="9" s="1"/>
  <c r="J11" i="22"/>
  <c r="J15" i="22" s="1"/>
  <c r="I14" i="9"/>
  <c r="I17" i="7"/>
  <c r="I19" i="7" s="1"/>
  <c r="K47" i="2"/>
  <c r="K4" i="7" s="1"/>
  <c r="K20" i="9" s="1"/>
  <c r="P7" i="1"/>
  <c r="O12" i="7"/>
  <c r="O13" i="9" s="1"/>
  <c r="L4" i="8"/>
  <c r="N10" i="19"/>
  <c r="M19" i="9"/>
  <c r="B19" i="4" s="1"/>
  <c r="B18" i="19"/>
  <c r="N47" i="21"/>
  <c r="M57" i="21"/>
  <c r="N13" i="9"/>
  <c r="Q15" i="7"/>
  <c r="Q16" i="9" s="1"/>
  <c r="R10" i="1"/>
  <c r="O43" i="21"/>
  <c r="N53" i="21"/>
  <c r="O29" i="21"/>
  <c r="M20" i="2"/>
  <c r="M3" i="2" s="1"/>
  <c r="N19" i="2"/>
  <c r="R3" i="21"/>
  <c r="Q9" i="21"/>
  <c r="P33" i="21"/>
  <c r="Q23" i="21"/>
  <c r="L44" i="2"/>
  <c r="L40" i="2"/>
  <c r="L6" i="2"/>
  <c r="L43" i="2"/>
  <c r="L42" i="2"/>
  <c r="L41" i="2"/>
  <c r="S9" i="7"/>
  <c r="T4" i="1"/>
  <c r="Q20" i="8"/>
  <c r="R10" i="9"/>
  <c r="M11" i="9"/>
  <c r="B10" i="10"/>
  <c r="AA33" i="2"/>
  <c r="Z34" i="2"/>
  <c r="Z4" i="2" s="1"/>
  <c r="Z45" i="2" s="1"/>
  <c r="O55" i="21" l="1"/>
  <c r="N6" i="8" s="1"/>
  <c r="L59" i="21"/>
  <c r="P35" i="21"/>
  <c r="P45" i="21" s="1"/>
  <c r="Q25" i="21"/>
  <c r="O34" i="21"/>
  <c r="P24" i="21"/>
  <c r="N39" i="21"/>
  <c r="M12" i="1" s="1"/>
  <c r="M25" i="7" s="1"/>
  <c r="B25" i="10" s="1"/>
  <c r="B18" i="17" s="1"/>
  <c r="N44" i="21"/>
  <c r="N49" i="21" s="1"/>
  <c r="M54" i="21"/>
  <c r="L5" i="8" s="1"/>
  <c r="M49" i="21"/>
  <c r="O36" i="21"/>
  <c r="O46" i="21" s="1"/>
  <c r="O56" i="21" s="1"/>
  <c r="P26" i="21"/>
  <c r="J10" i="8"/>
  <c r="R23" i="21"/>
  <c r="Q33" i="21"/>
  <c r="U4" i="1"/>
  <c r="T9" i="7"/>
  <c r="J14" i="9"/>
  <c r="J17" i="7"/>
  <c r="J19" i="7" s="1"/>
  <c r="AB33" i="2"/>
  <c r="AA34" i="2"/>
  <c r="AA4" i="2" s="1"/>
  <c r="AA45" i="2" s="1"/>
  <c r="S10" i="9"/>
  <c r="P6" i="1"/>
  <c r="O11" i="7"/>
  <c r="O12" i="9" s="1"/>
  <c r="O47" i="21"/>
  <c r="N57" i="21"/>
  <c r="B11" i="17"/>
  <c r="M4" i="8"/>
  <c r="N12" i="9"/>
  <c r="P43" i="21"/>
  <c r="O53" i="21"/>
  <c r="E11" i="1"/>
  <c r="E12" i="19"/>
  <c r="M43" i="2"/>
  <c r="M41" i="2"/>
  <c r="M42" i="2"/>
  <c r="M6" i="2"/>
  <c r="M40" i="2"/>
  <c r="M44" i="2"/>
  <c r="K9" i="22"/>
  <c r="K13" i="22" s="1"/>
  <c r="K4" i="9" s="1"/>
  <c r="K6" i="9" s="1"/>
  <c r="K11" i="22"/>
  <c r="K15" i="22" s="1"/>
  <c r="P12" i="7"/>
  <c r="Q7" i="1"/>
  <c r="P37" i="21"/>
  <c r="Q27" i="21"/>
  <c r="S3" i="21"/>
  <c r="R9" i="21"/>
  <c r="O10" i="19"/>
  <c r="N19" i="9"/>
  <c r="N11" i="9"/>
  <c r="B11" i="4"/>
  <c r="P5" i="1"/>
  <c r="O10" i="7"/>
  <c r="L3" i="7"/>
  <c r="L7" i="22"/>
  <c r="L8" i="1"/>
  <c r="R15" i="7"/>
  <c r="R16" i="9" s="1"/>
  <c r="S10" i="1"/>
  <c r="K5" i="7"/>
  <c r="L47" i="2"/>
  <c r="L4" i="7" s="1"/>
  <c r="L20" i="9" s="1"/>
  <c r="N20" i="2"/>
  <c r="N3" i="2" s="1"/>
  <c r="O19" i="2"/>
  <c r="K13" i="7"/>
  <c r="R20" i="8"/>
  <c r="Q14" i="7"/>
  <c r="R9" i="1"/>
  <c r="O39" i="21" l="1"/>
  <c r="N12" i="1" s="1"/>
  <c r="N25" i="7" s="1"/>
  <c r="P55" i="21"/>
  <c r="O6" i="8" s="1"/>
  <c r="B26" i="1"/>
  <c r="R25" i="21"/>
  <c r="Q35" i="21"/>
  <c r="Q45" i="21" s="1"/>
  <c r="D18" i="16"/>
  <c r="P36" i="21"/>
  <c r="P46" i="21" s="1"/>
  <c r="Q26" i="21"/>
  <c r="N54" i="21"/>
  <c r="O44" i="21"/>
  <c r="P34" i="21"/>
  <c r="P29" i="21"/>
  <c r="Q24" i="21"/>
  <c r="M59" i="21"/>
  <c r="M47" i="2"/>
  <c r="M4" i="7" s="1"/>
  <c r="M20" i="9" s="1"/>
  <c r="B20" i="4" s="1"/>
  <c r="K10" i="8"/>
  <c r="E21" i="7"/>
  <c r="E23" i="7" s="1"/>
  <c r="E27" i="7" s="1"/>
  <c r="E14" i="1"/>
  <c r="Q15" i="9"/>
  <c r="S20" i="8"/>
  <c r="L5" i="7"/>
  <c r="R7" i="1"/>
  <c r="Q12" i="7"/>
  <c r="Q13" i="9" s="1"/>
  <c r="T10" i="9"/>
  <c r="P13" i="9"/>
  <c r="U9" i="7"/>
  <c r="V4" i="1"/>
  <c r="O11" i="9"/>
  <c r="Q5" i="1"/>
  <c r="P10" i="7"/>
  <c r="L11" i="22"/>
  <c r="L15" i="22" s="1"/>
  <c r="L9" i="22"/>
  <c r="L13" i="22" s="1"/>
  <c r="L4" i="9" s="1"/>
  <c r="L6" i="9" s="1"/>
  <c r="K14" i="9"/>
  <c r="K17" i="7"/>
  <c r="K19" i="7" s="1"/>
  <c r="P19" i="2"/>
  <c r="O20" i="2"/>
  <c r="O3" i="2" s="1"/>
  <c r="P10" i="19"/>
  <c r="O19" i="9"/>
  <c r="B4" i="3"/>
  <c r="S9" i="1"/>
  <c r="R14" i="7"/>
  <c r="R15" i="9" s="1"/>
  <c r="S9" i="21"/>
  <c r="T3" i="21"/>
  <c r="M3" i="7"/>
  <c r="M8" i="1"/>
  <c r="M7" i="22"/>
  <c r="N4" i="8"/>
  <c r="T10" i="1"/>
  <c r="S15" i="7"/>
  <c r="S16" i="9" s="1"/>
  <c r="Q37" i="21"/>
  <c r="R27" i="21"/>
  <c r="Q43" i="21"/>
  <c r="P53" i="21"/>
  <c r="P47" i="21"/>
  <c r="O57" i="21"/>
  <c r="L13" i="7"/>
  <c r="Q6" i="1"/>
  <c r="P11" i="7"/>
  <c r="N42" i="2"/>
  <c r="N43" i="2"/>
  <c r="N40" i="2"/>
  <c r="N44" i="2"/>
  <c r="N6" i="2"/>
  <c r="N41" i="2"/>
  <c r="E13" i="19"/>
  <c r="AB34" i="2"/>
  <c r="AB4" i="2" s="1"/>
  <c r="AB45" i="2" s="1"/>
  <c r="AC33" i="2"/>
  <c r="S23" i="21"/>
  <c r="R33" i="21"/>
  <c r="B5" i="3" l="1"/>
  <c r="M5" i="8"/>
  <c r="Q29" i="21"/>
  <c r="Q55" i="21"/>
  <c r="P6" i="8" s="1"/>
  <c r="Q34" i="21"/>
  <c r="R24" i="21"/>
  <c r="Q46" i="21"/>
  <c r="Q56" i="21" s="1"/>
  <c r="P56" i="21"/>
  <c r="R35" i="21"/>
  <c r="R45" i="21" s="1"/>
  <c r="S25" i="21"/>
  <c r="N59" i="21"/>
  <c r="O54" i="21"/>
  <c r="N5" i="8" s="1"/>
  <c r="O49" i="21"/>
  <c r="Q36" i="21"/>
  <c r="R26" i="21"/>
  <c r="P44" i="21"/>
  <c r="P49" i="21" s="1"/>
  <c r="P39" i="21"/>
  <c r="O12" i="1" s="1"/>
  <c r="O25" i="7" s="1"/>
  <c r="B4" i="10"/>
  <c r="B5" i="17" s="1"/>
  <c r="N47" i="2"/>
  <c r="N4" i="7" s="1"/>
  <c r="N20" i="9" s="1"/>
  <c r="L10" i="8"/>
  <c r="P11" i="9"/>
  <c r="F9" i="19"/>
  <c r="E17" i="8"/>
  <c r="E18" i="8" s="1"/>
  <c r="M9" i="22"/>
  <c r="M13" i="22" s="1"/>
  <c r="M4" i="9" s="1"/>
  <c r="M11" i="22"/>
  <c r="M15" i="22" s="1"/>
  <c r="M13" i="7"/>
  <c r="B22" i="1"/>
  <c r="R43" i="21"/>
  <c r="Q53" i="21"/>
  <c r="M5" i="7"/>
  <c r="B3" i="10"/>
  <c r="P20" i="2"/>
  <c r="P3" i="2" s="1"/>
  <c r="Q19" i="2"/>
  <c r="Q10" i="7"/>
  <c r="R5" i="1"/>
  <c r="L14" i="9"/>
  <c r="L17" i="7"/>
  <c r="L19" i="7" s="1"/>
  <c r="Q47" i="21"/>
  <c r="P57" i="21"/>
  <c r="P12" i="9"/>
  <c r="U3" i="21"/>
  <c r="T9" i="21"/>
  <c r="V9" i="7"/>
  <c r="W4" i="1"/>
  <c r="T20" i="8"/>
  <c r="O4" i="8"/>
  <c r="N3" i="7"/>
  <c r="N8" i="1"/>
  <c r="N7" i="22"/>
  <c r="Q11" i="7"/>
  <c r="Q12" i="9" s="1"/>
  <c r="R6" i="1"/>
  <c r="Q10" i="19"/>
  <c r="P19" i="9"/>
  <c r="U10" i="9"/>
  <c r="U10" i="1"/>
  <c r="T15" i="7"/>
  <c r="T16" i="9" s="1"/>
  <c r="T23" i="21"/>
  <c r="S33" i="21"/>
  <c r="T9" i="1"/>
  <c r="S14" i="7"/>
  <c r="S15" i="9" s="1"/>
  <c r="AD33" i="2"/>
  <c r="AC34" i="2"/>
  <c r="AC4" i="2" s="1"/>
  <c r="AC45" i="2" s="1"/>
  <c r="S7" i="1"/>
  <c r="R12" i="7"/>
  <c r="R13" i="9" s="1"/>
  <c r="S27" i="21"/>
  <c r="R37" i="21"/>
  <c r="O43" i="2"/>
  <c r="O40" i="2"/>
  <c r="O41" i="2"/>
  <c r="O42" i="2"/>
  <c r="O44" i="2"/>
  <c r="O6" i="2"/>
  <c r="Q39" i="21" l="1"/>
  <c r="P12" i="1" s="1"/>
  <c r="P25" i="7" s="1"/>
  <c r="R55" i="21"/>
  <c r="Q6" i="8" s="1"/>
  <c r="R34" i="21"/>
  <c r="R29" i="21"/>
  <c r="S24" i="21"/>
  <c r="O59" i="21"/>
  <c r="S35" i="21"/>
  <c r="S45" i="21" s="1"/>
  <c r="T25" i="21"/>
  <c r="Q44" i="21"/>
  <c r="P54" i="21"/>
  <c r="O5" i="8" s="1"/>
  <c r="R36" i="21"/>
  <c r="R46" i="21" s="1"/>
  <c r="S26" i="21"/>
  <c r="M10" i="8"/>
  <c r="B10" i="3" s="1"/>
  <c r="B5" i="18" s="1"/>
  <c r="U20" i="8"/>
  <c r="Q11" i="9"/>
  <c r="Q20" i="2"/>
  <c r="Q3" i="2" s="1"/>
  <c r="R19" i="2"/>
  <c r="M14" i="9"/>
  <c r="B13" i="10"/>
  <c r="M17" i="7"/>
  <c r="M19" i="7" s="1"/>
  <c r="N13" i="7"/>
  <c r="R47" i="21"/>
  <c r="Q57" i="21"/>
  <c r="O47" i="2"/>
  <c r="O4" i="7" s="1"/>
  <c r="T14" i="7"/>
  <c r="T15" i="9" s="1"/>
  <c r="U9" i="1"/>
  <c r="N5" i="7"/>
  <c r="X4" i="1"/>
  <c r="W9" i="7"/>
  <c r="M6" i="9"/>
  <c r="B4" i="4"/>
  <c r="B6" i="4" s="1"/>
  <c r="V10" i="9"/>
  <c r="F11" i="19"/>
  <c r="U15" i="7"/>
  <c r="U16" i="9" s="1"/>
  <c r="V10" i="1"/>
  <c r="R10" i="19"/>
  <c r="Q19" i="9"/>
  <c r="S43" i="21"/>
  <c r="R53" i="21"/>
  <c r="S12" i="7"/>
  <c r="S13" i="9" s="1"/>
  <c r="T7" i="1"/>
  <c r="N11" i="22"/>
  <c r="N15" i="22" s="1"/>
  <c r="N9" i="22"/>
  <c r="N13" i="22" s="1"/>
  <c r="N4" i="9" s="1"/>
  <c r="O3" i="7"/>
  <c r="O8" i="1"/>
  <c r="O7" i="22"/>
  <c r="S6" i="1"/>
  <c r="R11" i="7"/>
  <c r="R12" i="9" s="1"/>
  <c r="S5" i="1"/>
  <c r="R10" i="7"/>
  <c r="AE33" i="2"/>
  <c r="AD34" i="2"/>
  <c r="AD4" i="2" s="1"/>
  <c r="AD45" i="2" s="1"/>
  <c r="V3" i="21"/>
  <c r="U9" i="21"/>
  <c r="B4" i="25"/>
  <c r="B3" i="5"/>
  <c r="B4" i="17"/>
  <c r="T27" i="21"/>
  <c r="S37" i="21"/>
  <c r="U23" i="21"/>
  <c r="T33" i="21"/>
  <c r="B5" i="10"/>
  <c r="P40" i="2"/>
  <c r="P41" i="2"/>
  <c r="P6" i="2"/>
  <c r="P42" i="2"/>
  <c r="P43" i="2"/>
  <c r="P44" i="2"/>
  <c r="P4" i="8"/>
  <c r="R39" i="21" l="1"/>
  <c r="Q12" i="1" s="1"/>
  <c r="Q25" i="7" s="1"/>
  <c r="S55" i="21"/>
  <c r="R6" i="8" s="1"/>
  <c r="Q54" i="21"/>
  <c r="P5" i="8" s="1"/>
  <c r="R44" i="21"/>
  <c r="Q49" i="21"/>
  <c r="U25" i="21"/>
  <c r="T35" i="21"/>
  <c r="T45" i="21" s="1"/>
  <c r="T55" i="21" s="1"/>
  <c r="S6" i="8" s="1"/>
  <c r="S29" i="21"/>
  <c r="T24" i="21"/>
  <c r="S34" i="21"/>
  <c r="P59" i="21"/>
  <c r="S36" i="21"/>
  <c r="S46" i="21" s="1"/>
  <c r="S56" i="21" s="1"/>
  <c r="T26" i="21"/>
  <c r="R56" i="21"/>
  <c r="P47" i="2"/>
  <c r="P4" i="7" s="1"/>
  <c r="P20" i="9" s="1"/>
  <c r="O5" i="7"/>
  <c r="N10" i="8"/>
  <c r="Q4" i="8"/>
  <c r="Q41" i="2"/>
  <c r="Q44" i="2"/>
  <c r="Q6" i="2"/>
  <c r="Q43" i="2"/>
  <c r="Q40" i="2"/>
  <c r="Q42" i="2"/>
  <c r="B10" i="5"/>
  <c r="B12" i="5" s="1"/>
  <c r="B6" i="17"/>
  <c r="W3" i="21"/>
  <c r="V9" i="21"/>
  <c r="R11" i="9"/>
  <c r="V15" i="7"/>
  <c r="V16" i="9" s="1"/>
  <c r="W10" i="1"/>
  <c r="V20" i="8"/>
  <c r="T5" i="1"/>
  <c r="S10" i="7"/>
  <c r="W10" i="9"/>
  <c r="N14" i="9"/>
  <c r="N17" i="7"/>
  <c r="N19" i="7" s="1"/>
  <c r="X9" i="7"/>
  <c r="Y4" i="1"/>
  <c r="T43" i="21"/>
  <c r="S53" i="21"/>
  <c r="S47" i="21"/>
  <c r="R57" i="21"/>
  <c r="V23" i="21"/>
  <c r="U33" i="21"/>
  <c r="S11" i="7"/>
  <c r="T6" i="1"/>
  <c r="R20" i="2"/>
  <c r="R3" i="2" s="1"/>
  <c r="S19" i="2"/>
  <c r="O20" i="9"/>
  <c r="S10" i="19"/>
  <c r="R19" i="9"/>
  <c r="N6" i="9"/>
  <c r="P3" i="7"/>
  <c r="P8" i="1"/>
  <c r="P7" i="22"/>
  <c r="O9" i="22"/>
  <c r="O13" i="22" s="1"/>
  <c r="O4" i="9" s="1"/>
  <c r="O6" i="9" s="1"/>
  <c r="O11" i="22"/>
  <c r="O15" i="22" s="1"/>
  <c r="T12" i="7"/>
  <c r="U7" i="1"/>
  <c r="F11" i="1"/>
  <c r="F12" i="19"/>
  <c r="B14" i="17"/>
  <c r="B17" i="10"/>
  <c r="B3" i="18" s="1"/>
  <c r="U27" i="21"/>
  <c r="T37" i="21"/>
  <c r="V9" i="1"/>
  <c r="U14" i="7"/>
  <c r="U15" i="9" s="1"/>
  <c r="AF33" i="2"/>
  <c r="AE34" i="2"/>
  <c r="AE4" i="2" s="1"/>
  <c r="AE45" i="2" s="1"/>
  <c r="O13" i="7"/>
  <c r="B14" i="4"/>
  <c r="S39" i="21" l="1"/>
  <c r="R12" i="1" s="1"/>
  <c r="R25" i="7" s="1"/>
  <c r="T34" i="21"/>
  <c r="U24" i="21"/>
  <c r="S44" i="21"/>
  <c r="S54" i="21" s="1"/>
  <c r="R5" i="8" s="1"/>
  <c r="R54" i="21"/>
  <c r="Q5" i="8" s="1"/>
  <c r="R49" i="21"/>
  <c r="Q59" i="21"/>
  <c r="T29" i="21"/>
  <c r="U35" i="21"/>
  <c r="U45" i="21" s="1"/>
  <c r="V25" i="21"/>
  <c r="T36" i="21"/>
  <c r="T46" i="21" s="1"/>
  <c r="U26" i="21"/>
  <c r="P5" i="7"/>
  <c r="O10" i="8"/>
  <c r="W9" i="1"/>
  <c r="V14" i="7"/>
  <c r="V15" i="9" s="1"/>
  <c r="T13" i="9"/>
  <c r="S20" i="2"/>
  <c r="S3" i="2" s="1"/>
  <c r="T19" i="2"/>
  <c r="S11" i="9"/>
  <c r="R41" i="2"/>
  <c r="R43" i="2"/>
  <c r="R44" i="2"/>
  <c r="R40" i="2"/>
  <c r="R6" i="2"/>
  <c r="R42" i="2"/>
  <c r="T47" i="21"/>
  <c r="S57" i="21"/>
  <c r="AF34" i="2"/>
  <c r="AF4" i="2" s="1"/>
  <c r="AF45" i="2" s="1"/>
  <c r="AG33" i="2"/>
  <c r="S12" i="9"/>
  <c r="X10" i="9"/>
  <c r="X10" i="1"/>
  <c r="W15" i="7"/>
  <c r="W16" i="9" s="1"/>
  <c r="P9" i="22"/>
  <c r="P13" i="22" s="1"/>
  <c r="P4" i="9" s="1"/>
  <c r="P6" i="9" s="1"/>
  <c r="P11" i="22"/>
  <c r="P15" i="22" s="1"/>
  <c r="W23" i="21"/>
  <c r="V33" i="21"/>
  <c r="B19" i="10"/>
  <c r="T11" i="7"/>
  <c r="T12" i="9" s="1"/>
  <c r="U6" i="1"/>
  <c r="W20" i="8"/>
  <c r="F13" i="19"/>
  <c r="R4" i="8"/>
  <c r="Q47" i="2"/>
  <c r="Q4" i="7" s="1"/>
  <c r="X3" i="21"/>
  <c r="W9" i="21"/>
  <c r="O14" i="9"/>
  <c r="O17" i="7"/>
  <c r="O19" i="7" s="1"/>
  <c r="P13" i="7"/>
  <c r="U5" i="1"/>
  <c r="T10" i="7"/>
  <c r="F21" i="7"/>
  <c r="F23" i="7" s="1"/>
  <c r="F27" i="7" s="1"/>
  <c r="F14" i="1"/>
  <c r="V27" i="21"/>
  <c r="U37" i="21"/>
  <c r="Z4" i="1"/>
  <c r="Y9" i="7"/>
  <c r="C18" i="1"/>
  <c r="T10" i="19"/>
  <c r="S19" i="9"/>
  <c r="U43" i="21"/>
  <c r="T53" i="21"/>
  <c r="U12" i="7"/>
  <c r="U13" i="9" s="1"/>
  <c r="V7" i="1"/>
  <c r="Q3" i="7"/>
  <c r="Q8" i="1"/>
  <c r="Q7" i="22"/>
  <c r="S49" i="21" l="1"/>
  <c r="S59" i="21"/>
  <c r="U55" i="21"/>
  <c r="T6" i="8" s="1"/>
  <c r="R59" i="21"/>
  <c r="U34" i="21"/>
  <c r="V24" i="21"/>
  <c r="U29" i="21"/>
  <c r="T44" i="21"/>
  <c r="T54" i="21" s="1"/>
  <c r="S5" i="8" s="1"/>
  <c r="W25" i="21"/>
  <c r="V35" i="21"/>
  <c r="V45" i="21" s="1"/>
  <c r="V26" i="21"/>
  <c r="U36" i="21"/>
  <c r="U46" i="21" s="1"/>
  <c r="U56" i="21" s="1"/>
  <c r="T56" i="21"/>
  <c r="T39" i="21"/>
  <c r="S12" i="1" s="1"/>
  <c r="S25" i="7" s="1"/>
  <c r="P10" i="8"/>
  <c r="G9" i="19"/>
  <c r="F17" i="8"/>
  <c r="F18" i="8" s="1"/>
  <c r="U47" i="21"/>
  <c r="T57" i="21"/>
  <c r="S4" i="8"/>
  <c r="Y3" i="21"/>
  <c r="X9" i="21"/>
  <c r="Q9" i="22"/>
  <c r="Q13" i="22" s="1"/>
  <c r="Q4" i="9" s="1"/>
  <c r="Q6" i="9" s="1"/>
  <c r="Q11" i="22"/>
  <c r="Q15" i="22" s="1"/>
  <c r="P14" i="9"/>
  <c r="P17" i="7"/>
  <c r="P19" i="7" s="1"/>
  <c r="V12" i="7"/>
  <c r="V13" i="9" s="1"/>
  <c r="W7" i="1"/>
  <c r="Q20" i="9"/>
  <c r="W27" i="21"/>
  <c r="V37" i="21"/>
  <c r="T11" i="9"/>
  <c r="W33" i="21"/>
  <c r="X23" i="21"/>
  <c r="Z9" i="7"/>
  <c r="AA4" i="1"/>
  <c r="X20" i="8"/>
  <c r="R8" i="1"/>
  <c r="R3" i="7"/>
  <c r="R7" i="22"/>
  <c r="R47" i="2"/>
  <c r="R4" i="7" s="1"/>
  <c r="R20" i="9" s="1"/>
  <c r="V6" i="1"/>
  <c r="U11" i="7"/>
  <c r="W14" i="7"/>
  <c r="W15" i="9" s="1"/>
  <c r="X9" i="1"/>
  <c r="Q13" i="7"/>
  <c r="Q5" i="7"/>
  <c r="V5" i="1"/>
  <c r="U10" i="7"/>
  <c r="Y10" i="1"/>
  <c r="X15" i="7"/>
  <c r="X16" i="9" s="1"/>
  <c r="T20" i="2"/>
  <c r="T3" i="2" s="1"/>
  <c r="U19" i="2"/>
  <c r="Y10" i="9"/>
  <c r="C9" i="10"/>
  <c r="V43" i="21"/>
  <c r="U53" i="21"/>
  <c r="AG34" i="2"/>
  <c r="AG4" i="2" s="1"/>
  <c r="AG45" i="2" s="1"/>
  <c r="AH33" i="2"/>
  <c r="U10" i="19"/>
  <c r="T19" i="9"/>
  <c r="S43" i="2"/>
  <c r="S44" i="2"/>
  <c r="S41" i="2"/>
  <c r="S6" i="2"/>
  <c r="S42" i="2"/>
  <c r="S40" i="2"/>
  <c r="V55" i="21" l="1"/>
  <c r="U6" i="8" s="1"/>
  <c r="W26" i="21"/>
  <c r="V36" i="21"/>
  <c r="V46" i="21" s="1"/>
  <c r="V56" i="21" s="1"/>
  <c r="T59" i="21"/>
  <c r="T49" i="21"/>
  <c r="W35" i="21"/>
  <c r="W45" i="21" s="1"/>
  <c r="X25" i="21"/>
  <c r="V29" i="21"/>
  <c r="W24" i="21"/>
  <c r="V34" i="21"/>
  <c r="U44" i="21"/>
  <c r="U39" i="21"/>
  <c r="T12" i="1" s="1"/>
  <c r="T25" i="7" s="1"/>
  <c r="Q10" i="8"/>
  <c r="S8" i="1"/>
  <c r="S7" i="22"/>
  <c r="S3" i="7"/>
  <c r="Z10" i="9"/>
  <c r="V47" i="21"/>
  <c r="U57" i="21"/>
  <c r="U12" i="9"/>
  <c r="G11" i="19"/>
  <c r="R11" i="22"/>
  <c r="R15" i="22" s="1"/>
  <c r="R9" i="22"/>
  <c r="R13" i="22" s="1"/>
  <c r="R4" i="9" s="1"/>
  <c r="R6" i="9" s="1"/>
  <c r="W43" i="21"/>
  <c r="V53" i="21"/>
  <c r="V10" i="7"/>
  <c r="W5" i="1"/>
  <c r="X7" i="1"/>
  <c r="W12" i="7"/>
  <c r="W13" i="9" s="1"/>
  <c r="AB4" i="1"/>
  <c r="AA9" i="7"/>
  <c r="T44" i="2"/>
  <c r="T42" i="2"/>
  <c r="T6" i="2"/>
  <c r="T40" i="2"/>
  <c r="T43" i="2"/>
  <c r="T41" i="2"/>
  <c r="AI33" i="2"/>
  <c r="AH34" i="2"/>
  <c r="AH4" i="2" s="1"/>
  <c r="AH45" i="2" s="1"/>
  <c r="U11" i="9"/>
  <c r="R13" i="7"/>
  <c r="Y20" i="8"/>
  <c r="Y9" i="21"/>
  <c r="Z3" i="21"/>
  <c r="Y9" i="1"/>
  <c r="X14" i="7"/>
  <c r="X15" i="9" s="1"/>
  <c r="V10" i="19"/>
  <c r="U19" i="9"/>
  <c r="V19" i="2"/>
  <c r="U20" i="2"/>
  <c r="U3" i="2" s="1"/>
  <c r="Y23" i="21"/>
  <c r="X33" i="21"/>
  <c r="Y15" i="7"/>
  <c r="Z10" i="1"/>
  <c r="C24" i="1"/>
  <c r="Q14" i="9"/>
  <c r="Q17" i="7"/>
  <c r="Q19" i="7" s="1"/>
  <c r="C10" i="4"/>
  <c r="V11" i="7"/>
  <c r="V12" i="9" s="1"/>
  <c r="W6" i="1"/>
  <c r="T4" i="8"/>
  <c r="R5" i="7"/>
  <c r="C10" i="17"/>
  <c r="S47" i="2"/>
  <c r="S4" i="7" s="1"/>
  <c r="W37" i="21"/>
  <c r="X27" i="21"/>
  <c r="V39" i="21" l="1"/>
  <c r="U12" i="1" s="1"/>
  <c r="U25" i="7" s="1"/>
  <c r="V44" i="21"/>
  <c r="U54" i="21"/>
  <c r="T5" i="8" s="1"/>
  <c r="W55" i="21"/>
  <c r="V6" i="8" s="1"/>
  <c r="W29" i="21"/>
  <c r="W34" i="21"/>
  <c r="X24" i="21"/>
  <c r="X29" i="21" s="1"/>
  <c r="U59" i="21"/>
  <c r="U49" i="21"/>
  <c r="X35" i="21"/>
  <c r="X45" i="21" s="1"/>
  <c r="Y25" i="21"/>
  <c r="X26" i="21"/>
  <c r="W36" i="21"/>
  <c r="W46" i="21" s="1"/>
  <c r="W56" i="21" s="1"/>
  <c r="S5" i="7"/>
  <c r="R10" i="8"/>
  <c r="AI34" i="2"/>
  <c r="AI4" i="2" s="1"/>
  <c r="AI45" i="2" s="1"/>
  <c r="AJ33" i="2"/>
  <c r="W47" i="21"/>
  <c r="V57" i="21"/>
  <c r="Y27" i="21"/>
  <c r="X37" i="21"/>
  <c r="R14" i="9"/>
  <c r="R17" i="7"/>
  <c r="R19" i="7" s="1"/>
  <c r="T3" i="7"/>
  <c r="T8" i="1"/>
  <c r="T7" i="22"/>
  <c r="W10" i="7"/>
  <c r="X5" i="1"/>
  <c r="Z9" i="21"/>
  <c r="AA3" i="21"/>
  <c r="V11" i="9"/>
  <c r="S13" i="7"/>
  <c r="Y33" i="21"/>
  <c r="Z23" i="21"/>
  <c r="AA10" i="9"/>
  <c r="X12" i="7"/>
  <c r="X13" i="9" s="1"/>
  <c r="Y7" i="1"/>
  <c r="Y14" i="7"/>
  <c r="Z9" i="1"/>
  <c r="C23" i="1"/>
  <c r="S9" i="22"/>
  <c r="S13" i="22" s="1"/>
  <c r="S4" i="9" s="1"/>
  <c r="S11" i="22"/>
  <c r="S15" i="22" s="1"/>
  <c r="AB9" i="7"/>
  <c r="AC4" i="1"/>
  <c r="Y16" i="9"/>
  <c r="C16" i="4" s="1"/>
  <c r="C15" i="10"/>
  <c r="C16" i="17" s="1"/>
  <c r="W11" i="7"/>
  <c r="W12" i="9" s="1"/>
  <c r="X6" i="1"/>
  <c r="G11" i="1"/>
  <c r="G12" i="19"/>
  <c r="G13" i="19" s="1"/>
  <c r="S20" i="9"/>
  <c r="U41" i="2"/>
  <c r="U42" i="2"/>
  <c r="U40" i="2"/>
  <c r="U43" i="2"/>
  <c r="U44" i="2"/>
  <c r="U6" i="2"/>
  <c r="Z20" i="8"/>
  <c r="C20" i="3"/>
  <c r="U4" i="8"/>
  <c r="W10" i="19"/>
  <c r="V19" i="9"/>
  <c r="X43" i="21"/>
  <c r="W53" i="21"/>
  <c r="Z15" i="7"/>
  <c r="AA10" i="1"/>
  <c r="T47" i="2"/>
  <c r="T4" i="7" s="1"/>
  <c r="T20" i="9" s="1"/>
  <c r="V20" i="2"/>
  <c r="V3" i="2" s="1"/>
  <c r="W19" i="2"/>
  <c r="W39" i="21" l="1"/>
  <c r="V12" i="1" s="1"/>
  <c r="V25" i="7" s="1"/>
  <c r="X55" i="21"/>
  <c r="W6" i="8" s="1"/>
  <c r="X36" i="21"/>
  <c r="X46" i="21" s="1"/>
  <c r="Y26" i="21"/>
  <c r="Y35" i="21"/>
  <c r="Y45" i="21" s="1"/>
  <c r="Z25" i="21"/>
  <c r="X56" i="21"/>
  <c r="X39" i="21"/>
  <c r="W12" i="1" s="1"/>
  <c r="W25" i="7" s="1"/>
  <c r="W44" i="21"/>
  <c r="V49" i="21"/>
  <c r="V54" i="21"/>
  <c r="U5" i="8" s="1"/>
  <c r="Y24" i="21"/>
  <c r="X34" i="21"/>
  <c r="T5" i="7"/>
  <c r="S10" i="8"/>
  <c r="AA15" i="7"/>
  <c r="AA16" i="9" s="1"/>
  <c r="AB10" i="1"/>
  <c r="AB10" i="9"/>
  <c r="Y5" i="1"/>
  <c r="X10" i="7"/>
  <c r="W20" i="2"/>
  <c r="W3" i="2" s="1"/>
  <c r="X19" i="2"/>
  <c r="U3" i="7"/>
  <c r="U8" i="1"/>
  <c r="U7" i="22"/>
  <c r="H9" i="19"/>
  <c r="G17" i="8"/>
  <c r="G18" i="8" s="1"/>
  <c r="W11" i="9"/>
  <c r="V42" i="2"/>
  <c r="V44" i="2"/>
  <c r="V41" i="2"/>
  <c r="V6" i="2"/>
  <c r="V40" i="2"/>
  <c r="V43" i="2"/>
  <c r="G21" i="7"/>
  <c r="G23" i="7" s="1"/>
  <c r="G27" i="7" s="1"/>
  <c r="G14" i="1"/>
  <c r="S6" i="9"/>
  <c r="Z33" i="21"/>
  <c r="AA23" i="21"/>
  <c r="X47" i="21"/>
  <c r="W57" i="21"/>
  <c r="X10" i="19"/>
  <c r="W19" i="9"/>
  <c r="Y6" i="1"/>
  <c r="X11" i="7"/>
  <c r="X12" i="9" s="1"/>
  <c r="T9" i="22"/>
  <c r="T13" i="22" s="1"/>
  <c r="T4" i="9" s="1"/>
  <c r="T6" i="9" s="1"/>
  <c r="T11" i="22"/>
  <c r="T15" i="22" s="1"/>
  <c r="AA9" i="21"/>
  <c r="AB3" i="21"/>
  <c r="V4" i="8"/>
  <c r="Z27" i="21"/>
  <c r="Y37" i="21"/>
  <c r="Y43" i="21"/>
  <c r="X53" i="21"/>
  <c r="U47" i="2"/>
  <c r="U4" i="7" s="1"/>
  <c r="AA9" i="1"/>
  <c r="Z14" i="7"/>
  <c r="T13" i="7"/>
  <c r="AD4" i="1"/>
  <c r="AC9" i="7"/>
  <c r="AJ34" i="2"/>
  <c r="AJ4" i="2" s="1"/>
  <c r="AJ45" i="2" s="1"/>
  <c r="AK33" i="2"/>
  <c r="Y15" i="9"/>
  <c r="C15" i="4" s="1"/>
  <c r="C14" i="10"/>
  <c r="C15" i="17" s="1"/>
  <c r="S14" i="9"/>
  <c r="S17" i="7"/>
  <c r="S19" i="7" s="1"/>
  <c r="Z7" i="1"/>
  <c r="Y12" i="7"/>
  <c r="C21" i="1"/>
  <c r="Z16" i="9"/>
  <c r="AA20" i="8"/>
  <c r="Y55" i="21" l="1"/>
  <c r="X6" i="8" s="1"/>
  <c r="V59" i="21"/>
  <c r="W54" i="21"/>
  <c r="V5" i="8" s="1"/>
  <c r="W49" i="21"/>
  <c r="Z35" i="21"/>
  <c r="Z45" i="21" s="1"/>
  <c r="AA25" i="21"/>
  <c r="Y36" i="21"/>
  <c r="Y46" i="21" s="1"/>
  <c r="Y56" i="21" s="1"/>
  <c r="Z26" i="21"/>
  <c r="Y29" i="21"/>
  <c r="X44" i="21"/>
  <c r="Z24" i="21"/>
  <c r="Y34" i="21"/>
  <c r="U5" i="7"/>
  <c r="T10" i="8"/>
  <c r="Y10" i="19"/>
  <c r="X19" i="9"/>
  <c r="V47" i="2"/>
  <c r="V4" i="7" s="1"/>
  <c r="V20" i="9" s="1"/>
  <c r="X20" i="2"/>
  <c r="X3" i="2" s="1"/>
  <c r="Y19" i="2"/>
  <c r="AC10" i="1"/>
  <c r="AB15" i="7"/>
  <c r="AB16" i="9" s="1"/>
  <c r="AB20" i="8"/>
  <c r="AC3" i="21"/>
  <c r="AB9" i="21"/>
  <c r="W4" i="8"/>
  <c r="Y47" i="21"/>
  <c r="X57" i="21"/>
  <c r="Z43" i="21"/>
  <c r="Y53" i="21"/>
  <c r="AA33" i="21"/>
  <c r="AB23" i="21"/>
  <c r="Z37" i="21"/>
  <c r="AA27" i="21"/>
  <c r="U13" i="7"/>
  <c r="Y13" i="9"/>
  <c r="C13" i="4" s="1"/>
  <c r="C12" i="10"/>
  <c r="C13" i="17" s="1"/>
  <c r="Z12" i="7"/>
  <c r="AA7" i="1"/>
  <c r="V8" i="1"/>
  <c r="V3" i="7"/>
  <c r="V7" i="22"/>
  <c r="Z15" i="9"/>
  <c r="AA14" i="7"/>
  <c r="AA15" i="9" s="1"/>
  <c r="AB9" i="1"/>
  <c r="Y11" i="7"/>
  <c r="Z6" i="1"/>
  <c r="C20" i="1"/>
  <c r="H11" i="19"/>
  <c r="AC10" i="9"/>
  <c r="W40" i="2"/>
  <c r="W43" i="2"/>
  <c r="W44" i="2"/>
  <c r="W42" i="2"/>
  <c r="W41" i="2"/>
  <c r="W6" i="2"/>
  <c r="AE4" i="1"/>
  <c r="AD9" i="7"/>
  <c r="X11" i="9"/>
  <c r="Y10" i="7"/>
  <c r="Z5" i="1"/>
  <c r="C19" i="1"/>
  <c r="T14" i="9"/>
  <c r="T17" i="7"/>
  <c r="T19" i="7" s="1"/>
  <c r="AK34" i="2"/>
  <c r="AK4" i="2" s="1"/>
  <c r="AK45" i="2" s="1"/>
  <c r="AL33" i="2"/>
  <c r="U20" i="9"/>
  <c r="U11" i="22"/>
  <c r="U15" i="22" s="1"/>
  <c r="U9" i="22"/>
  <c r="U13" i="22" s="1"/>
  <c r="U4" i="9" s="1"/>
  <c r="U6" i="9" s="1"/>
  <c r="W59" i="21" l="1"/>
  <c r="Y44" i="21"/>
  <c r="Y54" i="21" s="1"/>
  <c r="X5" i="8" s="1"/>
  <c r="Z55" i="21"/>
  <c r="Y6" i="8" s="1"/>
  <c r="C6" i="3" s="1"/>
  <c r="AA26" i="21"/>
  <c r="Z36" i="21"/>
  <c r="Z46" i="21" s="1"/>
  <c r="Z56" i="21" s="1"/>
  <c r="AB25" i="21"/>
  <c r="AA35" i="21"/>
  <c r="AA45" i="21" s="1"/>
  <c r="V5" i="7"/>
  <c r="Z34" i="21"/>
  <c r="Z44" i="21" s="1"/>
  <c r="Z54" i="21" s="1"/>
  <c r="AA24" i="21"/>
  <c r="AA29" i="21" s="1"/>
  <c r="Z29" i="21"/>
  <c r="Y39" i="21"/>
  <c r="X12" i="1" s="1"/>
  <c r="X25" i="7" s="1"/>
  <c r="X49" i="21"/>
  <c r="X54" i="21"/>
  <c r="W5" i="8" s="1"/>
  <c r="U10" i="8"/>
  <c r="Z10" i="19"/>
  <c r="Y19" i="9"/>
  <c r="C19" i="4" s="1"/>
  <c r="C18" i="19"/>
  <c r="H11" i="1"/>
  <c r="H12" i="19"/>
  <c r="H13" i="19" s="1"/>
  <c r="U14" i="9"/>
  <c r="U17" i="7"/>
  <c r="U19" i="7" s="1"/>
  <c r="Z47" i="21"/>
  <c r="Y57" i="21"/>
  <c r="Y59" i="21" s="1"/>
  <c r="AE9" i="7"/>
  <c r="AF4" i="1"/>
  <c r="Y11" i="9"/>
  <c r="C10" i="10"/>
  <c r="W47" i="2"/>
  <c r="W4" i="7" s="1"/>
  <c r="W20" i="9" s="1"/>
  <c r="AA12" i="7"/>
  <c r="AA13" i="9" s="1"/>
  <c r="AB7" i="1"/>
  <c r="Y20" i="2"/>
  <c r="Y3" i="2" s="1"/>
  <c r="Z19" i="2"/>
  <c r="AD10" i="9"/>
  <c r="W8" i="1"/>
  <c r="W3" i="7"/>
  <c r="W7" i="22"/>
  <c r="Z11" i="7"/>
  <c r="AA6" i="1"/>
  <c r="AB27" i="21"/>
  <c r="AA37" i="21"/>
  <c r="Y12" i="9"/>
  <c r="C12" i="4" s="1"/>
  <c r="C11" i="10"/>
  <c r="C12" i="17" s="1"/>
  <c r="AD3" i="21"/>
  <c r="AC9" i="21"/>
  <c r="Z13" i="9"/>
  <c r="X4" i="8"/>
  <c r="X44" i="2"/>
  <c r="X40" i="2"/>
  <c r="X6" i="2"/>
  <c r="X41" i="2"/>
  <c r="X43" i="2"/>
  <c r="X42" i="2"/>
  <c r="AA43" i="21"/>
  <c r="Z53" i="21"/>
  <c r="AC15" i="7"/>
  <c r="AD10" i="1"/>
  <c r="V9" i="22"/>
  <c r="V13" i="22" s="1"/>
  <c r="V4" i="9" s="1"/>
  <c r="V6" i="9" s="1"/>
  <c r="V11" i="22"/>
  <c r="V15" i="22" s="1"/>
  <c r="AB14" i="7"/>
  <c r="AB15" i="9" s="1"/>
  <c r="AC9" i="1"/>
  <c r="V13" i="7"/>
  <c r="AA5" i="1"/>
  <c r="Z10" i="7"/>
  <c r="AC23" i="21"/>
  <c r="AB33" i="21"/>
  <c r="AC20" i="8"/>
  <c r="AM33" i="2"/>
  <c r="AL34" i="2"/>
  <c r="AL4" i="2" s="1"/>
  <c r="AL45" i="2" s="1"/>
  <c r="Y49" i="21"/>
  <c r="Y5" i="8" l="1"/>
  <c r="C5" i="3" s="1"/>
  <c r="Z49" i="21"/>
  <c r="Z39" i="21"/>
  <c r="Y12" i="1" s="1"/>
  <c r="AA55" i="21"/>
  <c r="Z6" i="8" s="1"/>
  <c r="AA34" i="21"/>
  <c r="AA44" i="21" s="1"/>
  <c r="AA54" i="21" s="1"/>
  <c r="Z5" i="8" s="1"/>
  <c r="AB24" i="21"/>
  <c r="AB35" i="21"/>
  <c r="AB45" i="21" s="1"/>
  <c r="AC25" i="21"/>
  <c r="X59" i="21"/>
  <c r="AA36" i="21"/>
  <c r="AA46" i="21" s="1"/>
  <c r="AB26" i="21"/>
  <c r="W5" i="7"/>
  <c r="V10" i="8"/>
  <c r="Z11" i="9"/>
  <c r="AD9" i="1"/>
  <c r="AC14" i="7"/>
  <c r="AE3" i="21"/>
  <c r="AD9" i="21"/>
  <c r="AD15" i="7"/>
  <c r="AD16" i="9" s="1"/>
  <c r="AE10" i="1"/>
  <c r="AE10" i="9"/>
  <c r="AC16" i="9"/>
  <c r="AA11" i="7"/>
  <c r="AA12" i="9" s="1"/>
  <c r="AB6" i="1"/>
  <c r="AD20" i="8"/>
  <c r="X3" i="7"/>
  <c r="X8" i="1"/>
  <c r="X7" i="22"/>
  <c r="Z12" i="9"/>
  <c r="X47" i="2"/>
  <c r="X4" i="7" s="1"/>
  <c r="X20" i="9" s="1"/>
  <c r="W11" i="22"/>
  <c r="W15" i="22" s="1"/>
  <c r="W9" i="22"/>
  <c r="W13" i="22" s="1"/>
  <c r="W4" i="9" s="1"/>
  <c r="W6" i="9" s="1"/>
  <c r="AA10" i="7"/>
  <c r="AB5" i="1"/>
  <c r="Y40" i="2"/>
  <c r="Y6" i="2"/>
  <c r="Y41" i="2"/>
  <c r="Y44" i="2"/>
  <c r="Y42" i="2"/>
  <c r="Y43" i="2"/>
  <c r="C11" i="4"/>
  <c r="AB43" i="21"/>
  <c r="AA53" i="21"/>
  <c r="AN33" i="2"/>
  <c r="AM34" i="2"/>
  <c r="AM4" i="2" s="1"/>
  <c r="AM45" i="2" s="1"/>
  <c r="Z19" i="9"/>
  <c r="AA10" i="19"/>
  <c r="AF9" i="7"/>
  <c r="AG4" i="1"/>
  <c r="V14" i="9"/>
  <c r="V17" i="7"/>
  <c r="V19" i="7" s="1"/>
  <c r="AB12" i="7"/>
  <c r="AC7" i="1"/>
  <c r="W13" i="7"/>
  <c r="C11" i="17"/>
  <c r="I9" i="19"/>
  <c r="H17" i="8"/>
  <c r="H18" i="8" s="1"/>
  <c r="Z20" i="2"/>
  <c r="Z3" i="2" s="1"/>
  <c r="AA19" i="2"/>
  <c r="AC27" i="21"/>
  <c r="AB37" i="21"/>
  <c r="AA47" i="21"/>
  <c r="Z57" i="21"/>
  <c r="Z59" i="21" s="1"/>
  <c r="AD23" i="21"/>
  <c r="AC33" i="21"/>
  <c r="Y4" i="8"/>
  <c r="H21" i="7"/>
  <c r="H23" i="7" s="1"/>
  <c r="H27" i="7" s="1"/>
  <c r="H14" i="1"/>
  <c r="AB29" i="21" l="1"/>
  <c r="Y25" i="7"/>
  <c r="C25" i="10" s="1"/>
  <c r="C26" i="1"/>
  <c r="AA39" i="21"/>
  <c r="Z12" i="1" s="1"/>
  <c r="Z25" i="7" s="1"/>
  <c r="AB55" i="21"/>
  <c r="AA6" i="8" s="1"/>
  <c r="AB36" i="21"/>
  <c r="AB46" i="21" s="1"/>
  <c r="AB56" i="21" s="1"/>
  <c r="AC26" i="21"/>
  <c r="AA56" i="21"/>
  <c r="AC35" i="21"/>
  <c r="AC45" i="21" s="1"/>
  <c r="AD25" i="21"/>
  <c r="AC24" i="21"/>
  <c r="AB34" i="21"/>
  <c r="X5" i="7"/>
  <c r="AB13" i="9"/>
  <c r="AN34" i="2"/>
  <c r="AN4" i="2" s="1"/>
  <c r="AN45" i="2" s="1"/>
  <c r="AO33" i="2"/>
  <c r="Y8" i="1"/>
  <c r="Y3" i="7"/>
  <c r="Y7" i="22"/>
  <c r="AB47" i="21"/>
  <c r="AA57" i="21"/>
  <c r="AE15" i="7"/>
  <c r="AE16" i="9" s="1"/>
  <c r="AF10" i="1"/>
  <c r="I11" i="19"/>
  <c r="Z4" i="8"/>
  <c r="X11" i="22"/>
  <c r="X15" i="22" s="1"/>
  <c r="X9" i="22"/>
  <c r="X13" i="22" s="1"/>
  <c r="X4" i="9" s="1"/>
  <c r="X6" i="9" s="1"/>
  <c r="AC43" i="21"/>
  <c r="AB53" i="21"/>
  <c r="AA11" i="9"/>
  <c r="AE9" i="21"/>
  <c r="AF3" i="21"/>
  <c r="W14" i="9"/>
  <c r="W17" i="7"/>
  <c r="W19" i="7" s="1"/>
  <c r="AF10" i="9"/>
  <c r="AE20" i="8"/>
  <c r="AC6" i="1"/>
  <c r="AB11" i="7"/>
  <c r="AB10" i="19"/>
  <c r="AA19" i="9"/>
  <c r="AA20" i="2"/>
  <c r="AA3" i="2" s="1"/>
  <c r="AB19" i="2"/>
  <c r="AD7" i="1"/>
  <c r="AC12" i="7"/>
  <c r="AC13" i="9" s="1"/>
  <c r="Z42" i="2"/>
  <c r="Z43" i="2"/>
  <c r="Z40" i="2"/>
  <c r="Z6" i="2"/>
  <c r="Z44" i="2"/>
  <c r="Z41" i="2"/>
  <c r="Y47" i="2"/>
  <c r="Y4" i="7" s="1"/>
  <c r="AA49" i="21"/>
  <c r="AB10" i="7"/>
  <c r="AC5" i="1"/>
  <c r="X13" i="7"/>
  <c r="C4" i="3"/>
  <c r="W10" i="8"/>
  <c r="AH4" i="1"/>
  <c r="AG9" i="7"/>
  <c r="AC37" i="21"/>
  <c r="AD27" i="21"/>
  <c r="AC15" i="9"/>
  <c r="AE23" i="21"/>
  <c r="AD33" i="21"/>
  <c r="AD14" i="7"/>
  <c r="AD15" i="9" s="1"/>
  <c r="AE9" i="1"/>
  <c r="C18" i="17" l="1"/>
  <c r="E18" i="16"/>
  <c r="AA59" i="21"/>
  <c r="AC55" i="21"/>
  <c r="AB6" i="8" s="1"/>
  <c r="AB44" i="21"/>
  <c r="AB39" i="21"/>
  <c r="AA12" i="1" s="1"/>
  <c r="AA25" i="7" s="1"/>
  <c r="AD24" i="21"/>
  <c r="AC34" i="21"/>
  <c r="AC44" i="21" s="1"/>
  <c r="AC54" i="21" s="1"/>
  <c r="AB5" i="8" s="1"/>
  <c r="AE25" i="21"/>
  <c r="AD35" i="21"/>
  <c r="AD45" i="21" s="1"/>
  <c r="AC36" i="21"/>
  <c r="AC46" i="21" s="1"/>
  <c r="AC56" i="21" s="1"/>
  <c r="AD26" i="21"/>
  <c r="AC29" i="21"/>
  <c r="X10" i="8"/>
  <c r="AH9" i="7"/>
  <c r="AI4" i="1"/>
  <c r="AC10" i="7"/>
  <c r="AD5" i="1"/>
  <c r="AE14" i="7"/>
  <c r="AE15" i="9" s="1"/>
  <c r="AF9" i="1"/>
  <c r="AD12" i="7"/>
  <c r="AD13" i="9" s="1"/>
  <c r="AE7" i="1"/>
  <c r="AG3" i="21"/>
  <c r="AF9" i="21"/>
  <c r="AB20" i="2"/>
  <c r="AB3" i="2" s="1"/>
  <c r="AC19" i="2"/>
  <c r="I11" i="1"/>
  <c r="I12" i="19"/>
  <c r="I13" i="19" s="1"/>
  <c r="AA4" i="8"/>
  <c r="AG10" i="1"/>
  <c r="AF15" i="7"/>
  <c r="Y9" i="22"/>
  <c r="Y13" i="22" s="1"/>
  <c r="Y4" i="9" s="1"/>
  <c r="Y11" i="22"/>
  <c r="Y15" i="22" s="1"/>
  <c r="AB11" i="9"/>
  <c r="Y5" i="7"/>
  <c r="C3" i="10"/>
  <c r="Y13" i="7"/>
  <c r="C22" i="1"/>
  <c r="AA43" i="2"/>
  <c r="AA41" i="2"/>
  <c r="AA40" i="2"/>
  <c r="AA42" i="2"/>
  <c r="AA44" i="2"/>
  <c r="AA6" i="2"/>
  <c r="Y20" i="9"/>
  <c r="C20" i="4" s="1"/>
  <c r="C4" i="10"/>
  <c r="C5" i="17" s="1"/>
  <c r="AC10" i="19"/>
  <c r="AB19" i="9"/>
  <c r="AF20" i="8"/>
  <c r="AD43" i="21"/>
  <c r="AC53" i="21"/>
  <c r="AF23" i="21"/>
  <c r="AE33" i="21"/>
  <c r="Z3" i="7"/>
  <c r="Z8" i="1"/>
  <c r="Z7" i="22"/>
  <c r="AB12" i="9"/>
  <c r="AC11" i="7"/>
  <c r="AC12" i="9" s="1"/>
  <c r="AD6" i="1"/>
  <c r="AO34" i="2"/>
  <c r="AO4" i="2" s="1"/>
  <c r="AO45" i="2" s="1"/>
  <c r="AP33" i="2"/>
  <c r="AD37" i="21"/>
  <c r="AE27" i="21"/>
  <c r="X14" i="9"/>
  <c r="X17" i="7"/>
  <c r="X19" i="7" s="1"/>
  <c r="Z47" i="2"/>
  <c r="Z4" i="7" s="1"/>
  <c r="AC47" i="21"/>
  <c r="AB57" i="21"/>
  <c r="AG10" i="9"/>
  <c r="AD29" i="21" l="1"/>
  <c r="AD55" i="21"/>
  <c r="AC6" i="8" s="1"/>
  <c r="AD36" i="21"/>
  <c r="AD46" i="21" s="1"/>
  <c r="AD56" i="21" s="1"/>
  <c r="AE26" i="21"/>
  <c r="AE35" i="21"/>
  <c r="AE45" i="21" s="1"/>
  <c r="AF25" i="21"/>
  <c r="AB54" i="21"/>
  <c r="AA5" i="8" s="1"/>
  <c r="AB49" i="21"/>
  <c r="AD34" i="21"/>
  <c r="AE24" i="21"/>
  <c r="AC39" i="21"/>
  <c r="AB12" i="1" s="1"/>
  <c r="AB25" i="7" s="1"/>
  <c r="Y10" i="8"/>
  <c r="C10" i="3" s="1"/>
  <c r="C5" i="18" s="1"/>
  <c r="AD11" i="7"/>
  <c r="AD12" i="9" s="1"/>
  <c r="AE6" i="1"/>
  <c r="AD10" i="19"/>
  <c r="AC19" i="9"/>
  <c r="AC20" i="2"/>
  <c r="AC3" i="2" s="1"/>
  <c r="AD19" i="2"/>
  <c r="AB40" i="2"/>
  <c r="AB41" i="2"/>
  <c r="AB6" i="2"/>
  <c r="AB43" i="2"/>
  <c r="AB44" i="2"/>
  <c r="AB42" i="2"/>
  <c r="Z20" i="9"/>
  <c r="AF16" i="9"/>
  <c r="AJ4" i="1"/>
  <c r="AI9" i="7"/>
  <c r="AC11" i="9"/>
  <c r="AD47" i="21"/>
  <c r="AC57" i="21"/>
  <c r="AF33" i="21"/>
  <c r="AG23" i="21"/>
  <c r="Y14" i="9"/>
  <c r="C13" i="10"/>
  <c r="Y17" i="7"/>
  <c r="Y19" i="7" s="1"/>
  <c r="AG15" i="7"/>
  <c r="AG16" i="9" s="1"/>
  <c r="AH10" i="1"/>
  <c r="AG9" i="21"/>
  <c r="AH3" i="21"/>
  <c r="AH10" i="9"/>
  <c r="B5" i="25"/>
  <c r="C4" i="17"/>
  <c r="C12" i="18"/>
  <c r="C3" i="5"/>
  <c r="AB4" i="8"/>
  <c r="AC59" i="21"/>
  <c r="C5" i="10"/>
  <c r="AE12" i="7"/>
  <c r="AF7" i="1"/>
  <c r="AE43" i="21"/>
  <c r="AD53" i="21"/>
  <c r="AC49" i="21"/>
  <c r="AA8" i="1"/>
  <c r="AA3" i="7"/>
  <c r="AA7" i="22"/>
  <c r="AF27" i="21"/>
  <c r="AE37" i="21"/>
  <c r="AG9" i="1"/>
  <c r="AF14" i="7"/>
  <c r="Z11" i="22"/>
  <c r="Z15" i="22" s="1"/>
  <c r="Z9" i="22"/>
  <c r="Z13" i="22" s="1"/>
  <c r="Z4" i="9" s="1"/>
  <c r="AG20" i="8"/>
  <c r="AQ33" i="2"/>
  <c r="AP34" i="2"/>
  <c r="AP4" i="2" s="1"/>
  <c r="AP45" i="2" s="1"/>
  <c r="Z13" i="7"/>
  <c r="AA47" i="2"/>
  <c r="AA4" i="7" s="1"/>
  <c r="AA20" i="9" s="1"/>
  <c r="J9" i="19"/>
  <c r="I17" i="8"/>
  <c r="I18" i="8" s="1"/>
  <c r="Z5" i="7"/>
  <c r="Y6" i="9"/>
  <c r="C4" i="4"/>
  <c r="C6" i="4" s="1"/>
  <c r="I21" i="7"/>
  <c r="I23" i="7" s="1"/>
  <c r="I27" i="7" s="1"/>
  <c r="I14" i="1"/>
  <c r="AD10" i="7"/>
  <c r="AE5" i="1"/>
  <c r="AE55" i="21" l="1"/>
  <c r="AD6" i="8" s="1"/>
  <c r="AE34" i="21"/>
  <c r="AF24" i="21"/>
  <c r="AF29" i="21" s="1"/>
  <c r="AD44" i="21"/>
  <c r="AD49" i="21" s="1"/>
  <c r="AD39" i="21"/>
  <c r="AC12" i="1" s="1"/>
  <c r="AC25" i="7" s="1"/>
  <c r="AB59" i="21"/>
  <c r="AE29" i="21"/>
  <c r="AG25" i="21"/>
  <c r="AF35" i="21"/>
  <c r="AF45" i="21" s="1"/>
  <c r="AE36" i="21"/>
  <c r="AE46" i="21" s="1"/>
  <c r="AE56" i="21" s="1"/>
  <c r="AF26" i="21"/>
  <c r="AH15" i="7"/>
  <c r="AH16" i="9" s="1"/>
  <c r="AI10" i="1"/>
  <c r="AF37" i="21"/>
  <c r="AG27" i="21"/>
  <c r="AE10" i="19"/>
  <c r="AD19" i="9"/>
  <c r="J11" i="19"/>
  <c r="AA9" i="22"/>
  <c r="AA13" i="22" s="1"/>
  <c r="AA4" i="9" s="1"/>
  <c r="AA6" i="9" s="1"/>
  <c r="AA11" i="22"/>
  <c r="AA15" i="22" s="1"/>
  <c r="C14" i="17"/>
  <c r="C17" i="10"/>
  <c r="C19" i="10" s="1"/>
  <c r="AE10" i="7"/>
  <c r="AF5" i="1"/>
  <c r="AA5" i="7"/>
  <c r="AF43" i="21"/>
  <c r="AE53" i="21"/>
  <c r="C14" i="4"/>
  <c r="AD11" i="9"/>
  <c r="AA13" i="7"/>
  <c r="AC41" i="2"/>
  <c r="AC43" i="2"/>
  <c r="AC40" i="2"/>
  <c r="AC6" i="2"/>
  <c r="AC42" i="2"/>
  <c r="AC44" i="2"/>
  <c r="AC4" i="8"/>
  <c r="AH20" i="8"/>
  <c r="AF6" i="1"/>
  <c r="AE11" i="7"/>
  <c r="Z6" i="9"/>
  <c r="AF15" i="9"/>
  <c r="AG7" i="1"/>
  <c r="AF12" i="7"/>
  <c r="AF13" i="9" s="1"/>
  <c r="AI10" i="9"/>
  <c r="AB3" i="7"/>
  <c r="AB8" i="1"/>
  <c r="AB7" i="22"/>
  <c r="AR33" i="2"/>
  <c r="AQ34" i="2"/>
  <c r="AQ4" i="2" s="1"/>
  <c r="AQ45" i="2" s="1"/>
  <c r="AE47" i="21"/>
  <c r="AD57" i="21"/>
  <c r="AE13" i="9"/>
  <c r="AH23" i="21"/>
  <c r="AG33" i="21"/>
  <c r="AK4" i="1"/>
  <c r="AJ9" i="7"/>
  <c r="Z14" i="9"/>
  <c r="Z17" i="7"/>
  <c r="Z19" i="7" s="1"/>
  <c r="AB47" i="2"/>
  <c r="AB4" i="7" s="1"/>
  <c r="AG14" i="7"/>
  <c r="AG15" i="9" s="1"/>
  <c r="AH9" i="1"/>
  <c r="Z10" i="8"/>
  <c r="C6" i="17"/>
  <c r="C10" i="5"/>
  <c r="C12" i="5" s="1"/>
  <c r="AI3" i="21"/>
  <c r="AH9" i="21"/>
  <c r="AD20" i="2"/>
  <c r="AD3" i="2" s="1"/>
  <c r="AE19" i="2"/>
  <c r="AE39" i="21" l="1"/>
  <c r="AD12" i="1" s="1"/>
  <c r="AD25" i="7" s="1"/>
  <c r="AF55" i="21"/>
  <c r="AE6" i="8" s="1"/>
  <c r="AG24" i="21"/>
  <c r="AF34" i="21"/>
  <c r="AG26" i="21"/>
  <c r="AF36" i="21"/>
  <c r="AF46" i="21" s="1"/>
  <c r="AF56" i="21" s="1"/>
  <c r="AH25" i="21"/>
  <c r="AG35" i="21"/>
  <c r="AG45" i="21" s="1"/>
  <c r="AD54" i="21"/>
  <c r="AC5" i="8" s="1"/>
  <c r="AE44" i="21"/>
  <c r="AE54" i="21" s="1"/>
  <c r="AD5" i="8" s="1"/>
  <c r="AD59" i="21"/>
  <c r="AA14" i="9"/>
  <c r="AA17" i="7"/>
  <c r="AA19" i="7" s="1"/>
  <c r="AI23" i="21"/>
  <c r="AH33" i="21"/>
  <c r="AG5" i="1"/>
  <c r="AF10" i="7"/>
  <c r="AF10" i="19"/>
  <c r="AE19" i="9"/>
  <c r="AG12" i="7"/>
  <c r="AH7" i="1"/>
  <c r="AE20" i="2"/>
  <c r="AE3" i="2" s="1"/>
  <c r="AF19" i="2"/>
  <c r="AC3" i="7"/>
  <c r="AC8" i="1"/>
  <c r="AC7" i="22"/>
  <c r="AG37" i="21"/>
  <c r="AH27" i="21"/>
  <c r="AE11" i="9"/>
  <c r="C13" i="18"/>
  <c r="C3" i="18"/>
  <c r="AA10" i="8"/>
  <c r="AR34" i="2"/>
  <c r="AR4" i="2" s="1"/>
  <c r="AR45" i="2" s="1"/>
  <c r="AS33" i="2"/>
  <c r="AC47" i="2"/>
  <c r="AC4" i="7" s="1"/>
  <c r="AC20" i="9" s="1"/>
  <c r="AD4" i="8"/>
  <c r="AH14" i="7"/>
  <c r="AH15" i="9" s="1"/>
  <c r="AI9" i="1"/>
  <c r="AE12" i="9"/>
  <c r="J11" i="1"/>
  <c r="J12" i="19"/>
  <c r="J13" i="19" s="1"/>
  <c r="AB20" i="9"/>
  <c r="AF47" i="21"/>
  <c r="AE57" i="21"/>
  <c r="AD6" i="2"/>
  <c r="AD41" i="2"/>
  <c r="AD44" i="2"/>
  <c r="AD42" i="2"/>
  <c r="AD43" i="2"/>
  <c r="AD40" i="2"/>
  <c r="AJ10" i="9"/>
  <c r="AL4" i="1"/>
  <c r="AK9" i="7"/>
  <c r="D18" i="1"/>
  <c r="AB9" i="22"/>
  <c r="AB13" i="22" s="1"/>
  <c r="AB4" i="9" s="1"/>
  <c r="AB11" i="22"/>
  <c r="AB15" i="22" s="1"/>
  <c r="AB13" i="7"/>
  <c r="AF11" i="7"/>
  <c r="AF12" i="9" s="1"/>
  <c r="AG6" i="1"/>
  <c r="AG43" i="21"/>
  <c r="AF53" i="21"/>
  <c r="AI15" i="7"/>
  <c r="AI16" i="9" s="1"/>
  <c r="AJ10" i="1"/>
  <c r="AI9" i="21"/>
  <c r="AJ3" i="21"/>
  <c r="AB5" i="7"/>
  <c r="AI20" i="8"/>
  <c r="AG55" i="21" l="1"/>
  <c r="AF6" i="8" s="1"/>
  <c r="AG36" i="21"/>
  <c r="AG46" i="21" s="1"/>
  <c r="AG56" i="21" s="1"/>
  <c r="AH26" i="21"/>
  <c r="AF44" i="21"/>
  <c r="AF39" i="21"/>
  <c r="AE12" i="1" s="1"/>
  <c r="AE25" i="7" s="1"/>
  <c r="AI25" i="21"/>
  <c r="AH35" i="21"/>
  <c r="AH45" i="21" s="1"/>
  <c r="AG34" i="21"/>
  <c r="AG39" i="21" s="1"/>
  <c r="AF12" i="1" s="1"/>
  <c r="AF25" i="7" s="1"/>
  <c r="AH24" i="21"/>
  <c r="AG29" i="21"/>
  <c r="AE59" i="21"/>
  <c r="AE49" i="21"/>
  <c r="AD47" i="2"/>
  <c r="AD4" i="7" s="1"/>
  <c r="AD20" i="9" s="1"/>
  <c r="AJ20" i="8"/>
  <c r="J21" i="7"/>
  <c r="J23" i="7" s="1"/>
  <c r="J27" i="7" s="1"/>
  <c r="J14" i="1"/>
  <c r="AB6" i="9"/>
  <c r="AJ9" i="1"/>
  <c r="AI14" i="7"/>
  <c r="AI15" i="9" s="1"/>
  <c r="AC13" i="7"/>
  <c r="AE4" i="8"/>
  <c r="AC5" i="7"/>
  <c r="AJ9" i="21"/>
  <c r="AK3" i="21"/>
  <c r="AK10" i="1"/>
  <c r="AJ15" i="7"/>
  <c r="AJ16" i="9" s="1"/>
  <c r="AC9" i="22"/>
  <c r="AC13" i="22" s="1"/>
  <c r="AC4" i="9" s="1"/>
  <c r="AC6" i="9" s="1"/>
  <c r="AC11" i="22"/>
  <c r="AC15" i="22" s="1"/>
  <c r="AD3" i="7"/>
  <c r="AD8" i="1"/>
  <c r="AD7" i="22"/>
  <c r="AH43" i="21"/>
  <c r="AG53" i="21"/>
  <c r="AM4" i="1"/>
  <c r="AL9" i="7"/>
  <c r="AF20" i="2"/>
  <c r="AF3" i="2" s="1"/>
  <c r="AG19" i="2"/>
  <c r="AG10" i="7"/>
  <c r="AH5" i="1"/>
  <c r="K9" i="19"/>
  <c r="J17" i="8"/>
  <c r="J18" i="8" s="1"/>
  <c r="AG47" i="21"/>
  <c r="AF57" i="21"/>
  <c r="AE43" i="2"/>
  <c r="AE44" i="2"/>
  <c r="AE40" i="2"/>
  <c r="AE41" i="2"/>
  <c r="AE42" i="2"/>
  <c r="AE6" i="2"/>
  <c r="AG13" i="9"/>
  <c r="AB10" i="8"/>
  <c r="AI27" i="21"/>
  <c r="AH37" i="21"/>
  <c r="AB14" i="9"/>
  <c r="AB17" i="7"/>
  <c r="AB19" i="7" s="1"/>
  <c r="AK10" i="9"/>
  <c r="D9" i="10"/>
  <c r="AG10" i="19"/>
  <c r="AF19" i="9"/>
  <c r="AH6" i="1"/>
  <c r="AG11" i="7"/>
  <c r="AG12" i="9" s="1"/>
  <c r="AT33" i="2"/>
  <c r="AS34" i="2"/>
  <c r="AS4" i="2" s="1"/>
  <c r="AS45" i="2" s="1"/>
  <c r="AI7" i="1"/>
  <c r="AH12" i="7"/>
  <c r="AH13" i="9" s="1"/>
  <c r="AF11" i="9"/>
  <c r="AI33" i="21"/>
  <c r="AJ23" i="21"/>
  <c r="AH55" i="21" l="1"/>
  <c r="AG6" i="8" s="1"/>
  <c r="AG44" i="21"/>
  <c r="AG54" i="21" s="1"/>
  <c r="AF5" i="8" s="1"/>
  <c r="AI26" i="21"/>
  <c r="AH36" i="21"/>
  <c r="AH46" i="21" s="1"/>
  <c r="AH56" i="21" s="1"/>
  <c r="AI24" i="21"/>
  <c r="AH34" i="21"/>
  <c r="AH29" i="21"/>
  <c r="AI35" i="21"/>
  <c r="AI45" i="21" s="1"/>
  <c r="AJ25" i="21"/>
  <c r="AF54" i="21"/>
  <c r="AE5" i="8" s="1"/>
  <c r="AF49" i="21"/>
  <c r="AC10" i="8"/>
  <c r="AD5" i="7"/>
  <c r="AF44" i="2"/>
  <c r="AF43" i="2"/>
  <c r="AF6" i="2"/>
  <c r="AF40" i="2"/>
  <c r="AF41" i="2"/>
  <c r="AF42" i="2"/>
  <c r="AK20" i="8"/>
  <c r="AH19" i="2"/>
  <c r="AG20" i="2"/>
  <c r="AG3" i="2" s="1"/>
  <c r="AT34" i="2"/>
  <c r="AT4" i="2" s="1"/>
  <c r="AT45" i="2" s="1"/>
  <c r="AU33" i="2"/>
  <c r="AJ27" i="21"/>
  <c r="AI37" i="21"/>
  <c r="AK9" i="21"/>
  <c r="AL3" i="21"/>
  <c r="AJ14" i="7"/>
  <c r="AJ15" i="9" s="1"/>
  <c r="AK9" i="1"/>
  <c r="AI6" i="1"/>
  <c r="AH11" i="7"/>
  <c r="AH12" i="9" s="1"/>
  <c r="AN4" i="1"/>
  <c r="AM9" i="7"/>
  <c r="AH10" i="19"/>
  <c r="AG19" i="9"/>
  <c r="AE8" i="1"/>
  <c r="AE7" i="22"/>
  <c r="AE3" i="7"/>
  <c r="AF4" i="8"/>
  <c r="AC14" i="9"/>
  <c r="AC17" i="7"/>
  <c r="AC19" i="7" s="1"/>
  <c r="AK15" i="7"/>
  <c r="AL10" i="1"/>
  <c r="D24" i="1"/>
  <c r="K11" i="19"/>
  <c r="AI43" i="21"/>
  <c r="AH53" i="21"/>
  <c r="AH10" i="7"/>
  <c r="AI5" i="1"/>
  <c r="AD9" i="22"/>
  <c r="AD13" i="22" s="1"/>
  <c r="AD4" i="9" s="1"/>
  <c r="AD6" i="9" s="1"/>
  <c r="AD11" i="22"/>
  <c r="AD15" i="22" s="1"/>
  <c r="D10" i="4"/>
  <c r="AL10" i="9"/>
  <c r="AH47" i="21"/>
  <c r="AG57" i="21"/>
  <c r="AJ33" i="21"/>
  <c r="AK23" i="21"/>
  <c r="AE47" i="2"/>
  <c r="AE4" i="7" s="1"/>
  <c r="D10" i="17"/>
  <c r="AJ7" i="1"/>
  <c r="AI12" i="7"/>
  <c r="AI13" i="9" s="1"/>
  <c r="AG11" i="9"/>
  <c r="AD13" i="7"/>
  <c r="AG49" i="21" l="1"/>
  <c r="AG59" i="21"/>
  <c r="AI55" i="21"/>
  <c r="AH6" i="8" s="1"/>
  <c r="AK25" i="21"/>
  <c r="AJ35" i="21"/>
  <c r="AJ45" i="21" s="1"/>
  <c r="AH44" i="21"/>
  <c r="AH39" i="21"/>
  <c r="AG12" i="1" s="1"/>
  <c r="AG25" i="7" s="1"/>
  <c r="AJ24" i="21"/>
  <c r="AI34" i="21"/>
  <c r="AI29" i="21"/>
  <c r="AJ26" i="21"/>
  <c r="AI36" i="21"/>
  <c r="AI46" i="21" s="1"/>
  <c r="AI56" i="21" s="1"/>
  <c r="AF59" i="21"/>
  <c r="AD10" i="8"/>
  <c r="AM10" i="9"/>
  <c r="AJ43" i="21"/>
  <c r="AI53" i="21"/>
  <c r="AN9" i="7"/>
  <c r="AO4" i="1"/>
  <c r="AK27" i="21"/>
  <c r="AJ37" i="21"/>
  <c r="AL23" i="21"/>
  <c r="AK33" i="21"/>
  <c r="AM10" i="1"/>
  <c r="AL15" i="7"/>
  <c r="AE5" i="7"/>
  <c r="AI10" i="19"/>
  <c r="AH19" i="9"/>
  <c r="AL20" i="8"/>
  <c r="D20" i="3"/>
  <c r="AG4" i="8"/>
  <c r="K11" i="1"/>
  <c r="K12" i="19"/>
  <c r="K13" i="19" s="1"/>
  <c r="AK16" i="9"/>
  <c r="D16" i="4" s="1"/>
  <c r="D15" i="10"/>
  <c r="D16" i="17" s="1"/>
  <c r="AE9" i="22"/>
  <c r="AE13" i="22" s="1"/>
  <c r="AE4" i="9" s="1"/>
  <c r="AE11" i="22"/>
  <c r="AE15" i="22" s="1"/>
  <c r="AI11" i="7"/>
  <c r="AI12" i="9" s="1"/>
  <c r="AJ6" i="1"/>
  <c r="AK7" i="1"/>
  <c r="AJ12" i="7"/>
  <c r="AJ13" i="9" s="1"/>
  <c r="AE20" i="9"/>
  <c r="AV33" i="2"/>
  <c r="AU34" i="2"/>
  <c r="AU4" i="2" s="1"/>
  <c r="AU45" i="2" s="1"/>
  <c r="AH11" i="9"/>
  <c r="AE13" i="7"/>
  <c r="AK14" i="7"/>
  <c r="AL9" i="1"/>
  <c r="D23" i="1"/>
  <c r="AG41" i="2"/>
  <c r="AG42" i="2"/>
  <c r="AG6" i="2"/>
  <c r="AG43" i="2"/>
  <c r="AG44" i="2"/>
  <c r="AG40" i="2"/>
  <c r="AF47" i="2"/>
  <c r="AF4" i="7" s="1"/>
  <c r="AF20" i="9" s="1"/>
  <c r="AD14" i="9"/>
  <c r="AD17" i="7"/>
  <c r="AD19" i="7" s="1"/>
  <c r="AI10" i="7"/>
  <c r="AJ5" i="1"/>
  <c r="AI47" i="21"/>
  <c r="AH57" i="21"/>
  <c r="AH20" i="2"/>
  <c r="AH3" i="2" s="1"/>
  <c r="AI19" i="2"/>
  <c r="AF3" i="7"/>
  <c r="AF8" i="1"/>
  <c r="AF7" i="22"/>
  <c r="AM3" i="21"/>
  <c r="AL9" i="21"/>
  <c r="AJ55" i="21" l="1"/>
  <c r="AI6" i="8" s="1"/>
  <c r="AJ36" i="21"/>
  <c r="AJ46" i="21" s="1"/>
  <c r="AK26" i="21"/>
  <c r="AI44" i="21"/>
  <c r="AI39" i="21"/>
  <c r="AH12" i="1" s="1"/>
  <c r="AH25" i="7" s="1"/>
  <c r="AH49" i="21"/>
  <c r="AH54" i="21"/>
  <c r="AG5" i="8" s="1"/>
  <c r="AH59" i="21"/>
  <c r="AK35" i="21"/>
  <c r="AK45" i="21" s="1"/>
  <c r="AL25" i="21"/>
  <c r="AJ56" i="21"/>
  <c r="AJ29" i="21"/>
  <c r="AJ34" i="21"/>
  <c r="AK24" i="21"/>
  <c r="AG47" i="2"/>
  <c r="AG4" i="7" s="1"/>
  <c r="AG20" i="9" s="1"/>
  <c r="AE10" i="8"/>
  <c r="AM20" i="8"/>
  <c r="AI20" i="2"/>
  <c r="AI3" i="2" s="1"/>
  <c r="AJ19" i="2"/>
  <c r="AH42" i="2"/>
  <c r="AH40" i="2"/>
  <c r="AH41" i="2"/>
  <c r="AH44" i="2"/>
  <c r="AH6" i="2"/>
  <c r="AH43" i="2"/>
  <c r="AM15" i="7"/>
  <c r="AM16" i="9" s="1"/>
  <c r="AN10" i="1"/>
  <c r="AF13" i="7"/>
  <c r="AE6" i="9"/>
  <c r="AL16" i="9"/>
  <c r="AG3" i="7"/>
  <c r="AG8" i="1"/>
  <c r="AG7" i="22"/>
  <c r="AJ47" i="21"/>
  <c r="AI57" i="21"/>
  <c r="AL27" i="21"/>
  <c r="AK37" i="21"/>
  <c r="AM23" i="21"/>
  <c r="AL33" i="21"/>
  <c r="AE14" i="9"/>
  <c r="AE17" i="7"/>
  <c r="AE19" i="7" s="1"/>
  <c r="AF5" i="7"/>
  <c r="AV34" i="2"/>
  <c r="AV4" i="2" s="1"/>
  <c r="AV45" i="2" s="1"/>
  <c r="AW33" i="2"/>
  <c r="AK5" i="1"/>
  <c r="AJ10" i="7"/>
  <c r="L9" i="19"/>
  <c r="K17" i="8"/>
  <c r="K18" i="8" s="1"/>
  <c r="AM9" i="21"/>
  <c r="AN3" i="21"/>
  <c r="AL14" i="7"/>
  <c r="AM9" i="1"/>
  <c r="K21" i="7"/>
  <c r="K23" i="7" s="1"/>
  <c r="K27" i="7" s="1"/>
  <c r="K14" i="1"/>
  <c r="AN10" i="9"/>
  <c r="AP4" i="1"/>
  <c r="AO9" i="7"/>
  <c r="AI11" i="9"/>
  <c r="AK15" i="9"/>
  <c r="D15" i="4" s="1"/>
  <c r="D14" i="10"/>
  <c r="D15" i="17" s="1"/>
  <c r="AK12" i="7"/>
  <c r="AL7" i="1"/>
  <c r="D21" i="1"/>
  <c r="AH4" i="8"/>
  <c r="AI19" i="9"/>
  <c r="AJ10" i="19"/>
  <c r="AF11" i="22"/>
  <c r="AF15" i="22" s="1"/>
  <c r="AF9" i="22"/>
  <c r="AF13" i="22" s="1"/>
  <c r="AF4" i="9" s="1"/>
  <c r="AF6" i="9" s="1"/>
  <c r="AJ11" i="7"/>
  <c r="AJ12" i="9" s="1"/>
  <c r="AK6" i="1"/>
  <c r="AK43" i="21"/>
  <c r="AJ53" i="21"/>
  <c r="AK55" i="21" l="1"/>
  <c r="AJ6" i="8" s="1"/>
  <c r="AI54" i="21"/>
  <c r="AH5" i="8" s="1"/>
  <c r="AJ44" i="21"/>
  <c r="AI49" i="21"/>
  <c r="AL26" i="21"/>
  <c r="AK36" i="21"/>
  <c r="AK46" i="21" s="1"/>
  <c r="AK56" i="21" s="1"/>
  <c r="AK29" i="21"/>
  <c r="AL24" i="21"/>
  <c r="AK34" i="21"/>
  <c r="AJ39" i="21"/>
  <c r="AI12" i="1" s="1"/>
  <c r="AI25" i="7" s="1"/>
  <c r="AL35" i="21"/>
  <c r="AL45" i="21" s="1"/>
  <c r="AM25" i="21"/>
  <c r="AG5" i="7"/>
  <c r="AF10" i="8"/>
  <c r="L11" i="19"/>
  <c r="AK47" i="21"/>
  <c r="AJ57" i="21"/>
  <c r="AM33" i="21"/>
  <c r="AN23" i="21"/>
  <c r="AG13" i="7"/>
  <c r="AH3" i="7"/>
  <c r="AH8" i="1"/>
  <c r="AH7" i="22"/>
  <c r="AO10" i="1"/>
  <c r="AN15" i="7"/>
  <c r="AN16" i="9" s="1"/>
  <c r="AN20" i="8"/>
  <c r="AK10" i="19"/>
  <c r="AJ19" i="9"/>
  <c r="AX33" i="2"/>
  <c r="AW34" i="2"/>
  <c r="AW4" i="2" s="1"/>
  <c r="AW45" i="2" s="1"/>
  <c r="AK13" i="9"/>
  <c r="D13" i="4" s="1"/>
  <c r="D12" i="10"/>
  <c r="D13" i="17" s="1"/>
  <c r="AK10" i="7"/>
  <c r="AL5" i="1"/>
  <c r="D19" i="1"/>
  <c r="AJ49" i="21"/>
  <c r="AH47" i="2"/>
  <c r="AH4" i="7" s="1"/>
  <c r="AH20" i="9" s="1"/>
  <c r="AM14" i="7"/>
  <c r="AM15" i="9" s="1"/>
  <c r="AN9" i="1"/>
  <c r="AJ20" i="2"/>
  <c r="AJ3" i="2" s="1"/>
  <c r="AK19" i="2"/>
  <c r="AO10" i="9"/>
  <c r="AL15" i="9"/>
  <c r="AI40" i="2"/>
  <c r="AI6" i="2"/>
  <c r="AI43" i="2"/>
  <c r="AI41" i="2"/>
  <c r="AI42" i="2"/>
  <c r="AI44" i="2"/>
  <c r="AL12" i="7"/>
  <c r="AM7" i="1"/>
  <c r="AI4" i="8"/>
  <c r="AJ11" i="9"/>
  <c r="AL43" i="21"/>
  <c r="AK53" i="21"/>
  <c r="AK11" i="7"/>
  <c r="AL6" i="1"/>
  <c r="D20" i="1"/>
  <c r="AP9" i="7"/>
  <c r="AQ4" i="1"/>
  <c r="AN9" i="21"/>
  <c r="AO3" i="21"/>
  <c r="AL37" i="21"/>
  <c r="AM27" i="21"/>
  <c r="AG11" i="22"/>
  <c r="AG15" i="22" s="1"/>
  <c r="AG9" i="22"/>
  <c r="AG13" i="22" s="1"/>
  <c r="AG4" i="9" s="1"/>
  <c r="AG6" i="9" s="1"/>
  <c r="AF14" i="9"/>
  <c r="AF17" i="7"/>
  <c r="AF19" i="7" s="1"/>
  <c r="AI59" i="21" l="1"/>
  <c r="AK39" i="21"/>
  <c r="AJ12" i="1" s="1"/>
  <c r="AJ25" i="7" s="1"/>
  <c r="AL55" i="21"/>
  <c r="AK6" i="8" s="1"/>
  <c r="D6" i="3" s="1"/>
  <c r="AM24" i="21"/>
  <c r="AL29" i="21"/>
  <c r="AL34" i="21"/>
  <c r="AM26" i="21"/>
  <c r="AL36" i="21"/>
  <c r="AL46" i="21" s="1"/>
  <c r="AL56" i="21" s="1"/>
  <c r="AJ54" i="21"/>
  <c r="AI5" i="8" s="1"/>
  <c r="AK44" i="21"/>
  <c r="AM35" i="21"/>
  <c r="AM45" i="21" s="1"/>
  <c r="AN25" i="21"/>
  <c r="AG10" i="8"/>
  <c r="AJ44" i="2"/>
  <c r="AJ40" i="2"/>
  <c r="AJ42" i="2"/>
  <c r="AJ6" i="2"/>
  <c r="AJ43" i="2"/>
  <c r="AJ41" i="2"/>
  <c r="AL10" i="7"/>
  <c r="AM5" i="1"/>
  <c r="AK11" i="9"/>
  <c r="D10" i="10"/>
  <c r="AQ9" i="7"/>
  <c r="AR4" i="1"/>
  <c r="AI8" i="1"/>
  <c r="AI3" i="7"/>
  <c r="AI7" i="22"/>
  <c r="AO9" i="1"/>
  <c r="AN14" i="7"/>
  <c r="AN15" i="9" s="1"/>
  <c r="AX34" i="2"/>
  <c r="AX4" i="2" s="1"/>
  <c r="AX45" i="2" s="1"/>
  <c r="AY33" i="2"/>
  <c r="AK20" i="2"/>
  <c r="AK3" i="2" s="1"/>
  <c r="AL19" i="2"/>
  <c r="AI47" i="2"/>
  <c r="AI4" i="7" s="1"/>
  <c r="AI20" i="9" s="1"/>
  <c r="AL11" i="7"/>
  <c r="AM6" i="1"/>
  <c r="AL10" i="19"/>
  <c r="AK19" i="9"/>
  <c r="D19" i="4" s="1"/>
  <c r="D18" i="19"/>
  <c r="AK12" i="9"/>
  <c r="D12" i="4" s="1"/>
  <c r="D11" i="10"/>
  <c r="D12" i="17" s="1"/>
  <c r="AO20" i="8"/>
  <c r="AH13" i="7"/>
  <c r="AP3" i="21"/>
  <c r="AO9" i="21"/>
  <c r="AP10" i="1"/>
  <c r="AO15" i="7"/>
  <c r="AO16" i="9" s="1"/>
  <c r="L11" i="1"/>
  <c r="L12" i="19"/>
  <c r="L13" i="19" s="1"/>
  <c r="AH5" i="7"/>
  <c r="AM12" i="7"/>
  <c r="AM13" i="9" s="1"/>
  <c r="AN7" i="1"/>
  <c r="AJ4" i="8"/>
  <c r="AL13" i="9"/>
  <c r="AN33" i="21"/>
  <c r="AO23" i="21"/>
  <c r="AP10" i="9"/>
  <c r="AL47" i="21"/>
  <c r="AK57" i="21"/>
  <c r="AH11" i="22"/>
  <c r="AH15" i="22" s="1"/>
  <c r="AH9" i="22"/>
  <c r="AH13" i="22" s="1"/>
  <c r="AH4" i="9" s="1"/>
  <c r="AH6" i="9" s="1"/>
  <c r="AM37" i="21"/>
  <c r="AN27" i="21"/>
  <c r="AM43" i="21"/>
  <c r="AL53" i="21"/>
  <c r="AG14" i="9"/>
  <c r="AG17" i="7"/>
  <c r="AG19" i="7" s="1"/>
  <c r="AM55" i="21" l="1"/>
  <c r="AL6" i="8" s="1"/>
  <c r="AN26" i="21"/>
  <c r="AM36" i="21"/>
  <c r="AM46" i="21" s="1"/>
  <c r="AM56" i="21" s="1"/>
  <c r="AL39" i="21"/>
  <c r="AK12" i="1" s="1"/>
  <c r="AL44" i="21"/>
  <c r="AL54" i="21" s="1"/>
  <c r="AK54" i="21"/>
  <c r="AJ5" i="8" s="1"/>
  <c r="AK49" i="21"/>
  <c r="AJ59" i="21"/>
  <c r="AN24" i="21"/>
  <c r="AN29" i="21" s="1"/>
  <c r="AM34" i="21"/>
  <c r="AM29" i="21"/>
  <c r="AN35" i="21"/>
  <c r="AN45" i="21" s="1"/>
  <c r="AO25" i="21"/>
  <c r="AH10" i="8"/>
  <c r="L21" i="7"/>
  <c r="L23" i="7" s="1"/>
  <c r="L27" i="7" s="1"/>
  <c r="L14" i="1"/>
  <c r="AM47" i="21"/>
  <c r="AL57" i="21"/>
  <c r="AK44" i="2"/>
  <c r="AK40" i="2"/>
  <c r="AK41" i="2"/>
  <c r="AK42" i="2"/>
  <c r="AK6" i="2"/>
  <c r="AK43" i="2"/>
  <c r="D11" i="17"/>
  <c r="AN43" i="21"/>
  <c r="AM53" i="21"/>
  <c r="AJ3" i="7"/>
  <c r="AJ7" i="22"/>
  <c r="AJ8" i="1"/>
  <c r="AL20" i="2"/>
  <c r="AL3" i="2" s="1"/>
  <c r="AM19" i="2"/>
  <c r="AQ10" i="1"/>
  <c r="AP15" i="7"/>
  <c r="AM10" i="7"/>
  <c r="AN5" i="1"/>
  <c r="AL11" i="9"/>
  <c r="AR9" i="7"/>
  <c r="AS4" i="1"/>
  <c r="AN12" i="7"/>
  <c r="AO7" i="1"/>
  <c r="AM10" i="19"/>
  <c r="AL19" i="9"/>
  <c r="AO27" i="21"/>
  <c r="AN37" i="21"/>
  <c r="AO33" i="21"/>
  <c r="AP23" i="21"/>
  <c r="AN6" i="1"/>
  <c r="AM11" i="7"/>
  <c r="AM12" i="9" s="1"/>
  <c r="AI9" i="22"/>
  <c r="AI13" i="22" s="1"/>
  <c r="AI4" i="9" s="1"/>
  <c r="AI6" i="9" s="1"/>
  <c r="AI11" i="22"/>
  <c r="AI15" i="22" s="1"/>
  <c r="AJ47" i="2"/>
  <c r="AJ4" i="7" s="1"/>
  <c r="AJ20" i="9" s="1"/>
  <c r="AZ33" i="2"/>
  <c r="AY34" i="2"/>
  <c r="AY4" i="2" s="1"/>
  <c r="AY45" i="2" s="1"/>
  <c r="D11" i="4"/>
  <c r="AL12" i="9"/>
  <c r="AK4" i="8"/>
  <c r="AQ10" i="9"/>
  <c r="AQ3" i="21"/>
  <c r="AP9" i="21"/>
  <c r="AH14" i="9"/>
  <c r="AH17" i="7"/>
  <c r="AH19" i="7" s="1"/>
  <c r="AO14" i="7"/>
  <c r="AP9" i="1"/>
  <c r="AP20" i="8"/>
  <c r="AI5" i="7"/>
  <c r="M9" i="19"/>
  <c r="L17" i="8"/>
  <c r="L18" i="8" s="1"/>
  <c r="AI13" i="7"/>
  <c r="D5" i="3" l="1"/>
  <c r="AK5" i="8"/>
  <c r="AM39" i="21"/>
  <c r="AL12" i="1" s="1"/>
  <c r="AL25" i="7" s="1"/>
  <c r="AN55" i="21"/>
  <c r="AM6" i="8" s="1"/>
  <c r="AK59" i="21"/>
  <c r="AL49" i="21"/>
  <c r="AN36" i="21"/>
  <c r="AN46" i="21" s="1"/>
  <c r="AN56" i="21" s="1"/>
  <c r="AO26" i="21"/>
  <c r="AK25" i="7"/>
  <c r="D25" i="10" s="1"/>
  <c r="D26" i="1"/>
  <c r="AM44" i="21"/>
  <c r="AM54" i="21" s="1"/>
  <c r="AL5" i="8" s="1"/>
  <c r="AO35" i="21"/>
  <c r="AO45" i="21" s="1"/>
  <c r="AP25" i="21"/>
  <c r="AL59" i="21"/>
  <c r="AO24" i="21"/>
  <c r="AN34" i="21"/>
  <c r="AI10" i="8"/>
  <c r="AQ23" i="21"/>
  <c r="AP33" i="21"/>
  <c r="AR10" i="9"/>
  <c r="AP14" i="7"/>
  <c r="AP15" i="9" s="1"/>
  <c r="AQ9" i="1"/>
  <c r="AJ9" i="22"/>
  <c r="AJ13" i="22" s="1"/>
  <c r="AJ4" i="9" s="1"/>
  <c r="AJ6" i="9" s="1"/>
  <c r="AJ11" i="22"/>
  <c r="AJ15" i="22" s="1"/>
  <c r="AO15" i="9"/>
  <c r="AJ5" i="7"/>
  <c r="AK47" i="2"/>
  <c r="AK4" i="7" s="1"/>
  <c r="AM11" i="9"/>
  <c r="AQ20" i="8"/>
  <c r="AP27" i="21"/>
  <c r="AO37" i="21"/>
  <c r="AN47" i="21"/>
  <c r="AM57" i="21"/>
  <c r="AI14" i="9"/>
  <c r="AI17" i="7"/>
  <c r="AI19" i="7" s="1"/>
  <c r="AM49" i="21"/>
  <c r="M11" i="19"/>
  <c r="AP16" i="9"/>
  <c r="AT4" i="1"/>
  <c r="AS9" i="7"/>
  <c r="AJ13" i="7"/>
  <c r="AO12" i="7"/>
  <c r="AO13" i="9" s="1"/>
  <c r="AP7" i="1"/>
  <c r="AQ15" i="7"/>
  <c r="AQ16" i="9" s="1"/>
  <c r="AR10" i="1"/>
  <c r="D4" i="3"/>
  <c r="AL4" i="8"/>
  <c r="AO43" i="21"/>
  <c r="AN53" i="21"/>
  <c r="AO5" i="1"/>
  <c r="AN10" i="7"/>
  <c r="AR3" i="21"/>
  <c r="AQ9" i="21"/>
  <c r="AN10" i="19"/>
  <c r="AM19" i="9"/>
  <c r="AZ34" i="2"/>
  <c r="AZ4" i="2" s="1"/>
  <c r="AZ45" i="2" s="1"/>
  <c r="BA33" i="2"/>
  <c r="AN13" i="9"/>
  <c r="AN19" i="2"/>
  <c r="AM20" i="2"/>
  <c r="AM3" i="2" s="1"/>
  <c r="AK8" i="1"/>
  <c r="AK3" i="7"/>
  <c r="AK7" i="22"/>
  <c r="AO6" i="1"/>
  <c r="AN11" i="7"/>
  <c r="AL42" i="2"/>
  <c r="AL43" i="2"/>
  <c r="AL41" i="2"/>
  <c r="AL44" i="2"/>
  <c r="AL40" i="2"/>
  <c r="AL6" i="2"/>
  <c r="AM59" i="21" l="1"/>
  <c r="AO55" i="21"/>
  <c r="AN6" i="8" s="1"/>
  <c r="AO36" i="21"/>
  <c r="AO46" i="21" s="1"/>
  <c r="AO56" i="21" s="1"/>
  <c r="AP26" i="21"/>
  <c r="AP35" i="21"/>
  <c r="AP45" i="21" s="1"/>
  <c r="AQ25" i="21"/>
  <c r="F18" i="16"/>
  <c r="D18" i="17"/>
  <c r="AO29" i="21"/>
  <c r="AN44" i="21"/>
  <c r="AN54" i="21" s="1"/>
  <c r="AM5" i="8" s="1"/>
  <c r="AN39" i="21"/>
  <c r="AM12" i="1" s="1"/>
  <c r="AM25" i="7" s="1"/>
  <c r="AP24" i="21"/>
  <c r="AO34" i="21"/>
  <c r="AJ10" i="8"/>
  <c r="AN20" i="2"/>
  <c r="AN3" i="2" s="1"/>
  <c r="AO19" i="2"/>
  <c r="AL47" i="2"/>
  <c r="AL4" i="7" s="1"/>
  <c r="AK13" i="7"/>
  <c r="D22" i="1"/>
  <c r="AS10" i="9"/>
  <c r="AM43" i="2"/>
  <c r="AM41" i="2"/>
  <c r="AM6" i="2"/>
  <c r="AM40" i="2"/>
  <c r="AM42" i="2"/>
  <c r="AM44" i="2"/>
  <c r="AR9" i="21"/>
  <c r="AS3" i="21"/>
  <c r="AU4" i="1"/>
  <c r="AT9" i="7"/>
  <c r="AR20" i="8"/>
  <c r="AO47" i="21"/>
  <c r="AN57" i="21"/>
  <c r="AO10" i="7"/>
  <c r="AP5" i="1"/>
  <c r="BB33" i="2"/>
  <c r="BA34" i="2"/>
  <c r="BA4" i="2" s="1"/>
  <c r="BA45" i="2" s="1"/>
  <c r="AM4" i="8"/>
  <c r="AQ27" i="21"/>
  <c r="AP37" i="21"/>
  <c r="AN11" i="9"/>
  <c r="AQ33" i="21"/>
  <c r="AR23" i="21"/>
  <c r="AS10" i="1"/>
  <c r="AR15" i="7"/>
  <c r="AP6" i="1"/>
  <c r="AO11" i="7"/>
  <c r="AO12" i="9" s="1"/>
  <c r="AK20" i="9"/>
  <c r="D20" i="4" s="1"/>
  <c r="D4" i="10"/>
  <c r="D5" i="17" s="1"/>
  <c r="AP43" i="21"/>
  <c r="AO53" i="21"/>
  <c r="AQ14" i="7"/>
  <c r="AR9" i="1"/>
  <c r="M11" i="1"/>
  <c r="M12" i="19"/>
  <c r="B19" i="19"/>
  <c r="AK9" i="22"/>
  <c r="AK13" i="22" s="1"/>
  <c r="AK4" i="9" s="1"/>
  <c r="AK11" i="22"/>
  <c r="AK15" i="22" s="1"/>
  <c r="AO10" i="19"/>
  <c r="AN19" i="9"/>
  <c r="AJ14" i="9"/>
  <c r="AJ17" i="7"/>
  <c r="AJ19" i="7" s="1"/>
  <c r="AN12" i="9"/>
  <c r="AQ7" i="1"/>
  <c r="AP12" i="7"/>
  <c r="AL3" i="7"/>
  <c r="AL8" i="1"/>
  <c r="AL7" i="22"/>
  <c r="AK5" i="7"/>
  <c r="D3" i="10"/>
  <c r="AN59" i="21" l="1"/>
  <c r="AP36" i="21"/>
  <c r="AP46" i="21" s="1"/>
  <c r="AP56" i="21" s="1"/>
  <c r="AQ26" i="21"/>
  <c r="AP55" i="21"/>
  <c r="AO6" i="8" s="1"/>
  <c r="AN49" i="21"/>
  <c r="AQ35" i="21"/>
  <c r="AQ45" i="21" s="1"/>
  <c r="AQ55" i="21" s="1"/>
  <c r="AP6" i="8" s="1"/>
  <c r="AR25" i="21"/>
  <c r="AO44" i="21"/>
  <c r="AO39" i="21"/>
  <c r="AN12" i="1" s="1"/>
  <c r="AN25" i="7" s="1"/>
  <c r="AQ24" i="21"/>
  <c r="AQ29" i="21" s="1"/>
  <c r="AP29" i="21"/>
  <c r="AP34" i="21"/>
  <c r="AP39" i="21" s="1"/>
  <c r="AO12" i="1" s="1"/>
  <c r="AO25" i="7" s="1"/>
  <c r="AK10" i="8"/>
  <c r="D10" i="3" s="1"/>
  <c r="D5" i="18" s="1"/>
  <c r="AR16" i="9"/>
  <c r="AQ5" i="1"/>
  <c r="AP10" i="7"/>
  <c r="AL5" i="7"/>
  <c r="AT10" i="1"/>
  <c r="AS15" i="7"/>
  <c r="AS16" i="9" s="1"/>
  <c r="AO11" i="9"/>
  <c r="AS9" i="21"/>
  <c r="AT3" i="21"/>
  <c r="AK14" i="9"/>
  <c r="D13" i="10"/>
  <c r="AK17" i="7"/>
  <c r="AK19" i="7" s="1"/>
  <c r="AL20" i="9"/>
  <c r="AP47" i="21"/>
  <c r="AO57" i="21"/>
  <c r="M21" i="7"/>
  <c r="M14" i="1"/>
  <c r="B25" i="1"/>
  <c r="B28" i="1" s="1"/>
  <c r="AS20" i="8"/>
  <c r="AM3" i="7"/>
  <c r="AM8" i="1"/>
  <c r="AM7" i="22"/>
  <c r="AO20" i="2"/>
  <c r="AO3" i="2" s="1"/>
  <c r="AP19" i="2"/>
  <c r="AR14" i="7"/>
  <c r="AR15" i="9" s="1"/>
  <c r="AS9" i="1"/>
  <c r="AN40" i="2"/>
  <c r="AN41" i="2"/>
  <c r="AN6" i="2"/>
  <c r="AN43" i="2"/>
  <c r="AN44" i="2"/>
  <c r="AN42" i="2"/>
  <c r="AM47" i="2"/>
  <c r="AM4" i="7" s="1"/>
  <c r="AM20" i="9" s="1"/>
  <c r="AP11" i="7"/>
  <c r="AQ6" i="1"/>
  <c r="D3" i="5"/>
  <c r="D4" i="17"/>
  <c r="B6" i="25"/>
  <c r="D12" i="18"/>
  <c r="AN4" i="8"/>
  <c r="BB34" i="2"/>
  <c r="BB4" i="2" s="1"/>
  <c r="BB45" i="2" s="1"/>
  <c r="BC33" i="2"/>
  <c r="AO19" i="9"/>
  <c r="AP10" i="19"/>
  <c r="AP13" i="9"/>
  <c r="AR7" i="1"/>
  <c r="AQ12" i="7"/>
  <c r="AQ13" i="9" s="1"/>
  <c r="AS23" i="21"/>
  <c r="AR33" i="21"/>
  <c r="AQ37" i="21"/>
  <c r="AR27" i="21"/>
  <c r="B20" i="19"/>
  <c r="B21" i="19" s="1"/>
  <c r="C17" i="19" s="1"/>
  <c r="M13" i="19"/>
  <c r="AQ15" i="9"/>
  <c r="D5" i="10"/>
  <c r="AT10" i="9"/>
  <c r="AL13" i="7"/>
  <c r="AK6" i="9"/>
  <c r="D4" i="4"/>
  <c r="D6" i="4" s="1"/>
  <c r="AL11" i="22"/>
  <c r="AL15" i="22" s="1"/>
  <c r="AL9" i="22"/>
  <c r="AL13" i="22" s="1"/>
  <c r="AL4" i="9" s="1"/>
  <c r="AQ43" i="21"/>
  <c r="AP53" i="21"/>
  <c r="AV4" i="1"/>
  <c r="AU9" i="7"/>
  <c r="AP44" i="21" l="1"/>
  <c r="AO54" i="21"/>
  <c r="AN5" i="8" s="1"/>
  <c r="AS25" i="21"/>
  <c r="AR35" i="21"/>
  <c r="AR45" i="21" s="1"/>
  <c r="AR55" i="21" s="1"/>
  <c r="AQ6" i="8" s="1"/>
  <c r="AR26" i="21"/>
  <c r="AQ36" i="21"/>
  <c r="AQ46" i="21" s="1"/>
  <c r="AQ56" i="21" s="1"/>
  <c r="AO49" i="21"/>
  <c r="AQ34" i="21"/>
  <c r="AQ44" i="21" s="1"/>
  <c r="AQ54" i="21" s="1"/>
  <c r="AP5" i="8" s="1"/>
  <c r="AR24" i="21"/>
  <c r="AL14" i="9"/>
  <c r="AL17" i="7"/>
  <c r="AL19" i="7" s="1"/>
  <c r="AS14" i="7"/>
  <c r="AT9" i="1"/>
  <c r="B21" i="10"/>
  <c r="M23" i="7"/>
  <c r="M27" i="7" s="1"/>
  <c r="AV9" i="7"/>
  <c r="AW4" i="1"/>
  <c r="BD33" i="2"/>
  <c r="BC34" i="2"/>
  <c r="BC4" i="2" s="1"/>
  <c r="BC45" i="2" s="1"/>
  <c r="AO4" i="8"/>
  <c r="AP20" i="2"/>
  <c r="AP3" i="2" s="1"/>
  <c r="AQ19" i="2"/>
  <c r="AS33" i="21"/>
  <c r="AT23" i="21"/>
  <c r="AL10" i="8"/>
  <c r="AM5" i="7"/>
  <c r="AR43" i="21"/>
  <c r="AQ53" i="21"/>
  <c r="AQ47" i="21"/>
  <c r="AP57" i="21"/>
  <c r="AM13" i="7"/>
  <c r="AT20" i="8"/>
  <c r="D14" i="17"/>
  <c r="D17" i="10"/>
  <c r="D19" i="10" s="1"/>
  <c r="AM9" i="22"/>
  <c r="AM13" i="22" s="1"/>
  <c r="AM4" i="9" s="1"/>
  <c r="AM6" i="9" s="1"/>
  <c r="AM11" i="22"/>
  <c r="AM15" i="22" s="1"/>
  <c r="AS7" i="1"/>
  <c r="AR12" i="7"/>
  <c r="AR13" i="9" s="1"/>
  <c r="AQ10" i="19"/>
  <c r="AP19" i="9"/>
  <c r="D14" i="4"/>
  <c r="AP11" i="9"/>
  <c r="AO41" i="2"/>
  <c r="AO44" i="2"/>
  <c r="AO40" i="2"/>
  <c r="AO42" i="2"/>
  <c r="AO43" i="2"/>
  <c r="AO6" i="2"/>
  <c r="AU10" i="1"/>
  <c r="AT15" i="7"/>
  <c r="AT16" i="9" s="1"/>
  <c r="AL6" i="9"/>
  <c r="D10" i="5"/>
  <c r="D12" i="5" s="1"/>
  <c r="D6" i="17"/>
  <c r="N9" i="19"/>
  <c r="M17" i="8"/>
  <c r="AN8" i="1"/>
  <c r="AN3" i="7"/>
  <c r="AN7" i="22"/>
  <c r="AS27" i="21"/>
  <c r="AR37" i="21"/>
  <c r="AQ11" i="7"/>
  <c r="AQ12" i="9" s="1"/>
  <c r="AR6" i="1"/>
  <c r="AT9" i="21"/>
  <c r="AU3" i="21"/>
  <c r="AU10" i="9"/>
  <c r="AP12" i="9"/>
  <c r="AN47" i="2"/>
  <c r="AN4" i="7" s="1"/>
  <c r="AN20" i="9" s="1"/>
  <c r="AR5" i="1"/>
  <c r="AQ10" i="7"/>
  <c r="AR36" i="21" l="1"/>
  <c r="AR46" i="21" s="1"/>
  <c r="AR56" i="21" s="1"/>
  <c r="AS26" i="21"/>
  <c r="AO59" i="21"/>
  <c r="AQ39" i="21"/>
  <c r="AP12" i="1" s="1"/>
  <c r="AP25" i="7" s="1"/>
  <c r="AP54" i="21"/>
  <c r="AO5" i="8" s="1"/>
  <c r="AP49" i="21"/>
  <c r="AR29" i="21"/>
  <c r="AR34" i="21"/>
  <c r="AR44" i="21" s="1"/>
  <c r="AR54" i="21" s="1"/>
  <c r="AQ5" i="8" s="1"/>
  <c r="AS24" i="21"/>
  <c r="AT25" i="21"/>
  <c r="AS35" i="21"/>
  <c r="AS45" i="21" s="1"/>
  <c r="AT14" i="7"/>
  <c r="AT15" i="9" s="1"/>
  <c r="AU9" i="1"/>
  <c r="AS15" i="9"/>
  <c r="AN13" i="7"/>
  <c r="AN9" i="22"/>
  <c r="AN13" i="22" s="1"/>
  <c r="AN4" i="9" s="1"/>
  <c r="AN11" i="22"/>
  <c r="AN15" i="22" s="1"/>
  <c r="AN5" i="7"/>
  <c r="AT7" i="1"/>
  <c r="AS12" i="7"/>
  <c r="AS43" i="21"/>
  <c r="AR53" i="21"/>
  <c r="AS5" i="1"/>
  <c r="AR10" i="7"/>
  <c r="N11" i="19"/>
  <c r="AO47" i="2"/>
  <c r="AO4" i="7" s="1"/>
  <c r="AU20" i="8"/>
  <c r="AV10" i="9"/>
  <c r="AO3" i="7"/>
  <c r="AO8" i="1"/>
  <c r="AO7" i="22"/>
  <c r="AP4" i="8"/>
  <c r="AR11" i="7"/>
  <c r="AR12" i="9" s="1"/>
  <c r="AS6" i="1"/>
  <c r="AT33" i="21"/>
  <c r="AU23" i="21"/>
  <c r="AQ20" i="2"/>
  <c r="AQ3" i="2" s="1"/>
  <c r="AR19" i="2"/>
  <c r="AM10" i="8"/>
  <c r="AU9" i="21"/>
  <c r="AV3" i="21"/>
  <c r="AQ11" i="9"/>
  <c r="M18" i="8"/>
  <c r="B17" i="3"/>
  <c r="B18" i="3" s="1"/>
  <c r="AR10" i="19"/>
  <c r="AQ19" i="9"/>
  <c r="AP6" i="2"/>
  <c r="AP40" i="2"/>
  <c r="AP41" i="2"/>
  <c r="AP42" i="2"/>
  <c r="AP43" i="2"/>
  <c r="AP44" i="2"/>
  <c r="M29" i="7"/>
  <c r="M17" i="9" s="1"/>
  <c r="M22" i="9" s="1"/>
  <c r="M24" i="9" s="1"/>
  <c r="C29" i="7"/>
  <c r="E29" i="7"/>
  <c r="J29" i="7"/>
  <c r="L29" i="7"/>
  <c r="K29" i="7"/>
  <c r="G29" i="7"/>
  <c r="I29" i="7"/>
  <c r="B29" i="7"/>
  <c r="H29" i="7"/>
  <c r="F29" i="7"/>
  <c r="D29" i="7"/>
  <c r="AU15" i="7"/>
  <c r="AU16" i="9" s="1"/>
  <c r="AV10" i="1"/>
  <c r="AR47" i="21"/>
  <c r="AQ57" i="21"/>
  <c r="AQ59" i="21" s="1"/>
  <c r="D3" i="18"/>
  <c r="D13" i="18"/>
  <c r="BD34" i="2"/>
  <c r="BD4" i="2" s="1"/>
  <c r="BD45" i="2" s="1"/>
  <c r="BE33" i="2"/>
  <c r="AQ49" i="21"/>
  <c r="AW9" i="7"/>
  <c r="AX4" i="1"/>
  <c r="E18" i="1"/>
  <c r="AS37" i="21"/>
  <c r="AT27" i="21"/>
  <c r="AM14" i="9"/>
  <c r="AM17" i="7"/>
  <c r="AM19" i="7" s="1"/>
  <c r="B17" i="17"/>
  <c r="B23" i="10"/>
  <c r="B27" i="10" s="1"/>
  <c r="AR49" i="21" l="1"/>
  <c r="AS55" i="21"/>
  <c r="AR6" i="8" s="1"/>
  <c r="AT24" i="21"/>
  <c r="AT29" i="21" s="1"/>
  <c r="AS34" i="21"/>
  <c r="AS29" i="21"/>
  <c r="AP59" i="21"/>
  <c r="AS36" i="21"/>
  <c r="AS46" i="21" s="1"/>
  <c r="AT26" i="21"/>
  <c r="AR39" i="21"/>
  <c r="AQ12" i="1" s="1"/>
  <c r="AQ25" i="7" s="1"/>
  <c r="AT35" i="21"/>
  <c r="AT45" i="21" s="1"/>
  <c r="AU25" i="21"/>
  <c r="AN10" i="8"/>
  <c r="AW10" i="9"/>
  <c r="E9" i="10"/>
  <c r="D17" i="9"/>
  <c r="D22" i="9" s="1"/>
  <c r="D24" i="9" s="1"/>
  <c r="D31" i="7"/>
  <c r="F17" i="9"/>
  <c r="F22" i="9" s="1"/>
  <c r="F24" i="9" s="1"/>
  <c r="F31" i="7"/>
  <c r="AU27" i="21"/>
  <c r="AT37" i="21"/>
  <c r="L17" i="9"/>
  <c r="L22" i="9" s="1"/>
  <c r="L24" i="9" s="1"/>
  <c r="L31" i="7"/>
  <c r="AV9" i="21"/>
  <c r="AW3" i="21"/>
  <c r="AV23" i="21"/>
  <c r="AU33" i="21"/>
  <c r="N11" i="1"/>
  <c r="N12" i="19"/>
  <c r="AP8" i="1"/>
  <c r="AP3" i="7"/>
  <c r="AP7" i="22"/>
  <c r="AN6" i="9"/>
  <c r="AW10" i="1"/>
  <c r="AV15" i="7"/>
  <c r="AV16" i="9" s="1"/>
  <c r="J17" i="9"/>
  <c r="J22" i="9" s="1"/>
  <c r="J24" i="9" s="1"/>
  <c r="J31" i="7"/>
  <c r="AV20" i="8"/>
  <c r="K17" i="9"/>
  <c r="K22" i="9" s="1"/>
  <c r="K24" i="9" s="1"/>
  <c r="K31" i="7"/>
  <c r="AS47" i="21"/>
  <c r="AR57" i="21"/>
  <c r="E17" i="9"/>
  <c r="E22" i="9" s="1"/>
  <c r="E24" i="9" s="1"/>
  <c r="E31" i="7"/>
  <c r="AS10" i="19"/>
  <c r="AR19" i="9"/>
  <c r="AS11" i="7"/>
  <c r="AS12" i="9" s="1"/>
  <c r="AT6" i="1"/>
  <c r="AU14" i="7"/>
  <c r="AU15" i="9" s="1"/>
  <c r="AV9" i="1"/>
  <c r="AO20" i="9"/>
  <c r="AU7" i="1"/>
  <c r="AT12" i="7"/>
  <c r="AT13" i="9" s="1"/>
  <c r="M31" i="7"/>
  <c r="AO9" i="22"/>
  <c r="AO13" i="22" s="1"/>
  <c r="AO4" i="9" s="1"/>
  <c r="AO6" i="9" s="1"/>
  <c r="AO11" i="22"/>
  <c r="AO15" i="22" s="1"/>
  <c r="BF33" i="2"/>
  <c r="BE34" i="2"/>
  <c r="BE4" i="2" s="1"/>
  <c r="BE45" i="2" s="1"/>
  <c r="H17" i="9"/>
  <c r="H22" i="9" s="1"/>
  <c r="H24" i="9" s="1"/>
  <c r="H31" i="7"/>
  <c r="AO13" i="7"/>
  <c r="AR11" i="9"/>
  <c r="AN14" i="9"/>
  <c r="AN17" i="7"/>
  <c r="AN19" i="7" s="1"/>
  <c r="B29" i="10"/>
  <c r="B31" i="10" s="1"/>
  <c r="B17" i="9"/>
  <c r="B31" i="7"/>
  <c r="AR20" i="2"/>
  <c r="AR3" i="2" s="1"/>
  <c r="AS19" i="2"/>
  <c r="AS10" i="7"/>
  <c r="AT5" i="1"/>
  <c r="I17" i="9"/>
  <c r="I22" i="9" s="1"/>
  <c r="I24" i="9" s="1"/>
  <c r="I31" i="7"/>
  <c r="AQ43" i="2"/>
  <c r="AQ44" i="2"/>
  <c r="AQ41" i="2"/>
  <c r="AQ42" i="2"/>
  <c r="AQ6" i="2"/>
  <c r="AQ40" i="2"/>
  <c r="AQ4" i="8"/>
  <c r="AR59" i="21"/>
  <c r="C17" i="9"/>
  <c r="C22" i="9" s="1"/>
  <c r="C24" i="9" s="1"/>
  <c r="C31" i="7"/>
  <c r="AS13" i="9"/>
  <c r="AY4" i="1"/>
  <c r="AX9" i="7"/>
  <c r="AO5" i="7"/>
  <c r="G17" i="9"/>
  <c r="G22" i="9" s="1"/>
  <c r="G24" i="9" s="1"/>
  <c r="G31" i="7"/>
  <c r="AP47" i="2"/>
  <c r="AP4" i="7" s="1"/>
  <c r="AP20" i="9" s="1"/>
  <c r="AT43" i="21"/>
  <c r="AS53" i="21"/>
  <c r="AT55" i="21" l="1"/>
  <c r="AS6" i="8" s="1"/>
  <c r="AT36" i="21"/>
  <c r="AT46" i="21" s="1"/>
  <c r="AU26" i="21"/>
  <c r="AS56" i="21"/>
  <c r="AS44" i="21"/>
  <c r="AS39" i="21"/>
  <c r="AR12" i="1" s="1"/>
  <c r="AR25" i="7" s="1"/>
  <c r="AU24" i="21"/>
  <c r="AU29" i="21" s="1"/>
  <c r="AT34" i="21"/>
  <c r="AU35" i="21"/>
  <c r="AU45" i="21" s="1"/>
  <c r="AV25" i="21"/>
  <c r="AQ47" i="2"/>
  <c r="AQ4" i="7" s="1"/>
  <c r="AQ20" i="9" s="1"/>
  <c r="J11" i="25"/>
  <c r="B10" i="18"/>
  <c r="B22" i="3"/>
  <c r="B8" i="18" s="1"/>
  <c r="D17" i="16"/>
  <c r="D20" i="16" s="1"/>
  <c r="B33" i="10"/>
  <c r="B4" i="18" s="1"/>
  <c r="AP5" i="7"/>
  <c r="AP13" i="7"/>
  <c r="AT10" i="19"/>
  <c r="AS19" i="9"/>
  <c r="AP9" i="22"/>
  <c r="AP13" i="22" s="1"/>
  <c r="AP4" i="9" s="1"/>
  <c r="AP6" i="9" s="1"/>
  <c r="AP11" i="22"/>
  <c r="AP15" i="22" s="1"/>
  <c r="E10" i="4"/>
  <c r="AW20" i="8"/>
  <c r="N13" i="19"/>
  <c r="L33" i="7"/>
  <c r="L22" i="8"/>
  <c r="AX3" i="21"/>
  <c r="AW9" i="21"/>
  <c r="M33" i="7"/>
  <c r="M22" i="8"/>
  <c r="AQ3" i="7"/>
  <c r="AQ8" i="1"/>
  <c r="AQ7" i="22"/>
  <c r="AO14" i="9"/>
  <c r="AO17" i="7"/>
  <c r="AO19" i="7" s="1"/>
  <c r="AT47" i="21"/>
  <c r="AS57" i="21"/>
  <c r="AX10" i="9"/>
  <c r="K22" i="8"/>
  <c r="K33" i="7"/>
  <c r="AO10" i="8"/>
  <c r="AY9" i="7"/>
  <c r="AZ4" i="1"/>
  <c r="B9" i="8"/>
  <c r="B33" i="7"/>
  <c r="B22" i="8"/>
  <c r="AW15" i="7"/>
  <c r="AX10" i="1"/>
  <c r="E24" i="1"/>
  <c r="F33" i="7"/>
  <c r="F22" i="8"/>
  <c r="E33" i="7"/>
  <c r="E22" i="8"/>
  <c r="AU5" i="1"/>
  <c r="AT10" i="7"/>
  <c r="AV7" i="1"/>
  <c r="AU12" i="7"/>
  <c r="AU13" i="9" s="1"/>
  <c r="AV27" i="21"/>
  <c r="AU37" i="21"/>
  <c r="B17" i="4"/>
  <c r="B22" i="4" s="1"/>
  <c r="B24" i="4" s="1"/>
  <c r="B27" i="4" s="1"/>
  <c r="B22" i="9"/>
  <c r="B24" i="9" s="1"/>
  <c r="B27" i="9" s="1"/>
  <c r="AU6" i="1"/>
  <c r="AT11" i="7"/>
  <c r="AT12" i="9" s="1"/>
  <c r="E10" i="17"/>
  <c r="AR4" i="8"/>
  <c r="AS11" i="9"/>
  <c r="N21" i="7"/>
  <c r="N14" i="1"/>
  <c r="AT19" i="2"/>
  <c r="AS20" i="2"/>
  <c r="AS3" i="2" s="1"/>
  <c r="H22" i="8"/>
  <c r="H33" i="7"/>
  <c r="I22" i="8"/>
  <c r="I33" i="7"/>
  <c r="B19" i="17"/>
  <c r="B21" i="17" s="1"/>
  <c r="B23" i="17" s="1"/>
  <c r="B25" i="17" s="1"/>
  <c r="B4" i="5"/>
  <c r="B6" i="5" s="1"/>
  <c r="B7" i="5" s="1"/>
  <c r="B14" i="5" s="1"/>
  <c r="BF34" i="2"/>
  <c r="BF4" i="2" s="1"/>
  <c r="BF45" i="2" s="1"/>
  <c r="BG33" i="2"/>
  <c r="D22" i="8"/>
  <c r="D33" i="7"/>
  <c r="J33" i="7"/>
  <c r="J22" i="8"/>
  <c r="AU43" i="21"/>
  <c r="AT53" i="21"/>
  <c r="AR44" i="2"/>
  <c r="AR41" i="2"/>
  <c r="AR43" i="2"/>
  <c r="AR42" i="2"/>
  <c r="AR6" i="2"/>
  <c r="AR40" i="2"/>
  <c r="AW9" i="1"/>
  <c r="AV14" i="7"/>
  <c r="AV15" i="9" s="1"/>
  <c r="G33" i="7"/>
  <c r="G22" i="8"/>
  <c r="C22" i="8"/>
  <c r="C33" i="7"/>
  <c r="AV33" i="21"/>
  <c r="AW23" i="21"/>
  <c r="AU55" i="21" l="1"/>
  <c r="AT6" i="8" s="1"/>
  <c r="AT44" i="21"/>
  <c r="AT39" i="21"/>
  <c r="AS12" i="1" s="1"/>
  <c r="AS25" i="7" s="1"/>
  <c r="AV26" i="21"/>
  <c r="AU36" i="21"/>
  <c r="AU46" i="21" s="1"/>
  <c r="AV24" i="21"/>
  <c r="AU34" i="21"/>
  <c r="AU44" i="21" s="1"/>
  <c r="AU54" i="21" s="1"/>
  <c r="AT5" i="8" s="1"/>
  <c r="AS54" i="21"/>
  <c r="AR5" i="8" s="1"/>
  <c r="AS49" i="21"/>
  <c r="AT56" i="21"/>
  <c r="AW25" i="21"/>
  <c r="AV35" i="21"/>
  <c r="AV45" i="21" s="1"/>
  <c r="AQ5" i="7"/>
  <c r="AR47" i="2"/>
  <c r="AR4" i="7" s="1"/>
  <c r="AR20" i="9" s="1"/>
  <c r="AP10" i="8"/>
  <c r="AU11" i="7"/>
  <c r="AU12" i="9" s="1"/>
  <c r="AV6" i="1"/>
  <c r="AV12" i="7"/>
  <c r="AV13" i="9" s="1"/>
  <c r="AW7" i="1"/>
  <c r="AY10" i="9"/>
  <c r="B29" i="9"/>
  <c r="C26" i="9"/>
  <c r="C27" i="9" s="1"/>
  <c r="AQ13" i="7"/>
  <c r="B15" i="18"/>
  <c r="AW14" i="7"/>
  <c r="AX9" i="1"/>
  <c r="E23" i="1"/>
  <c r="C26" i="4"/>
  <c r="AT11" i="9"/>
  <c r="AR8" i="1"/>
  <c r="AR3" i="7"/>
  <c r="AR7" i="22"/>
  <c r="AV37" i="21"/>
  <c r="AW27" i="21"/>
  <c r="AW33" i="21"/>
  <c r="AX23" i="21"/>
  <c r="C21" i="8"/>
  <c r="B23" i="8"/>
  <c r="B25" i="8" s="1"/>
  <c r="AS41" i="2"/>
  <c r="AS42" i="2"/>
  <c r="AS44" i="2"/>
  <c r="AS6" i="2"/>
  <c r="AS40" i="2"/>
  <c r="AS43" i="2"/>
  <c r="N23" i="7"/>
  <c r="N27" i="7" s="1"/>
  <c r="AQ9" i="22"/>
  <c r="AQ13" i="22" s="1"/>
  <c r="AQ4" i="9" s="1"/>
  <c r="AQ6" i="9" s="1"/>
  <c r="AQ11" i="22"/>
  <c r="AQ15" i="22" s="1"/>
  <c r="AU10" i="7"/>
  <c r="AV5" i="1"/>
  <c r="N17" i="8"/>
  <c r="N18" i="8" s="1"/>
  <c r="O9" i="19"/>
  <c r="AW16" i="9"/>
  <c r="E16" i="4" s="1"/>
  <c r="E15" i="10"/>
  <c r="E16" i="17" s="1"/>
  <c r="AU10" i="19"/>
  <c r="AT19" i="9"/>
  <c r="E20" i="3"/>
  <c r="AX20" i="8"/>
  <c r="AT20" i="2"/>
  <c r="AT3" i="2" s="1"/>
  <c r="AU19" i="2"/>
  <c r="C9" i="8"/>
  <c r="B13" i="8"/>
  <c r="AU47" i="21"/>
  <c r="AT57" i="21"/>
  <c r="AY3" i="21"/>
  <c r="AX9" i="21"/>
  <c r="AP14" i="9"/>
  <c r="AP17" i="7"/>
  <c r="AP19" i="7" s="1"/>
  <c r="AV43" i="21"/>
  <c r="AU53" i="21"/>
  <c r="BA4" i="1"/>
  <c r="AZ9" i="7"/>
  <c r="AX15" i="7"/>
  <c r="AY10" i="1"/>
  <c r="C21" i="3"/>
  <c r="B24" i="3"/>
  <c r="AV29" i="21"/>
  <c r="AS4" i="8"/>
  <c r="BH33" i="2"/>
  <c r="BG34" i="2"/>
  <c r="BG4" i="2" s="1"/>
  <c r="BG45" i="2" s="1"/>
  <c r="AU39" i="21" l="1"/>
  <c r="AT12" i="1" s="1"/>
  <c r="AT25" i="7" s="1"/>
  <c r="AV55" i="21"/>
  <c r="AU6" i="8" s="1"/>
  <c r="AU56" i="21"/>
  <c r="AU49" i="21"/>
  <c r="AS59" i="21"/>
  <c r="AW24" i="21"/>
  <c r="AV34" i="21"/>
  <c r="AV44" i="21" s="1"/>
  <c r="AV54" i="21" s="1"/>
  <c r="AU5" i="8" s="1"/>
  <c r="AV36" i="21"/>
  <c r="AV46" i="21" s="1"/>
  <c r="AV56" i="21" s="1"/>
  <c r="AW26" i="21"/>
  <c r="AW35" i="21"/>
  <c r="AW45" i="21" s="1"/>
  <c r="AW55" i="21" s="1"/>
  <c r="AV6" i="8" s="1"/>
  <c r="AX25" i="21"/>
  <c r="AT49" i="21"/>
  <c r="AT54" i="21"/>
  <c r="AS5" i="8" s="1"/>
  <c r="AR5" i="7"/>
  <c r="AS47" i="2"/>
  <c r="AS4" i="7" s="1"/>
  <c r="AS20" i="9" s="1"/>
  <c r="AQ10" i="8"/>
  <c r="AX7" i="1"/>
  <c r="AW12" i="7"/>
  <c r="E21" i="1"/>
  <c r="AR9" i="22"/>
  <c r="AR13" i="22" s="1"/>
  <c r="AR4" i="9" s="1"/>
  <c r="AR11" i="22"/>
  <c r="AR15" i="22" s="1"/>
  <c r="AV11" i="7"/>
  <c r="AV12" i="9" s="1"/>
  <c r="AW6" i="1"/>
  <c r="D21" i="8"/>
  <c r="C23" i="8"/>
  <c r="C25" i="8" s="1"/>
  <c r="B18" i="25"/>
  <c r="B25" i="3"/>
  <c r="B6" i="18"/>
  <c r="AW43" i="21"/>
  <c r="AV53" i="21"/>
  <c r="AV10" i="7"/>
  <c r="AW5" i="1"/>
  <c r="AT42" i="2"/>
  <c r="AT44" i="2"/>
  <c r="AT40" i="2"/>
  <c r="AT6" i="2"/>
  <c r="AT41" i="2"/>
  <c r="AT43" i="2"/>
  <c r="AY15" i="7"/>
  <c r="AY16" i="9" s="1"/>
  <c r="AZ10" i="1"/>
  <c r="BH34" i="2"/>
  <c r="BH4" i="2" s="1"/>
  <c r="BH45" i="2" s="1"/>
  <c r="BI33" i="2"/>
  <c r="BI34" i="2" s="1"/>
  <c r="BI4" i="2" s="1"/>
  <c r="BI45" i="2" s="1"/>
  <c r="AX16" i="9"/>
  <c r="AY9" i="21"/>
  <c r="AZ3" i="21"/>
  <c r="AQ14" i="9"/>
  <c r="AQ17" i="7"/>
  <c r="AQ19" i="7" s="1"/>
  <c r="AT4" i="8"/>
  <c r="AX14" i="7"/>
  <c r="AY9" i="1"/>
  <c r="AS8" i="1"/>
  <c r="AS7" i="22"/>
  <c r="AS3" i="7"/>
  <c r="AU19" i="9"/>
  <c r="AV10" i="19"/>
  <c r="AX33" i="21"/>
  <c r="AY23" i="21"/>
  <c r="C29" i="9"/>
  <c r="D26" i="9"/>
  <c r="D27" i="9" s="1"/>
  <c r="O11" i="19"/>
  <c r="AX27" i="21"/>
  <c r="AW37" i="21"/>
  <c r="AY20" i="8"/>
  <c r="AR13" i="7"/>
  <c r="AV47" i="21"/>
  <c r="AU57" i="21"/>
  <c r="B27" i="8"/>
  <c r="AU20" i="2"/>
  <c r="AU3" i="2" s="1"/>
  <c r="AV19" i="2"/>
  <c r="AW15" i="9"/>
  <c r="E15" i="4" s="1"/>
  <c r="E14" i="10"/>
  <c r="E15" i="17" s="1"/>
  <c r="AU11" i="9"/>
  <c r="AZ10" i="9"/>
  <c r="BB4" i="1"/>
  <c r="BA9" i="7"/>
  <c r="D9" i="8"/>
  <c r="C13" i="8"/>
  <c r="AV39" i="21" l="1"/>
  <c r="AU12" i="1" s="1"/>
  <c r="AU25" i="7" s="1"/>
  <c r="AU59" i="21"/>
  <c r="AV49" i="21"/>
  <c r="AW36" i="21"/>
  <c r="AW46" i="21" s="1"/>
  <c r="AW56" i="21" s="1"/>
  <c r="AX26" i="21"/>
  <c r="AW29" i="21"/>
  <c r="AW34" i="21"/>
  <c r="AX24" i="21"/>
  <c r="AT59" i="21"/>
  <c r="AY25" i="21"/>
  <c r="AX35" i="21"/>
  <c r="AX45" i="21" s="1"/>
  <c r="C27" i="8"/>
  <c r="E9" i="8"/>
  <c r="D13" i="8"/>
  <c r="O11" i="1"/>
  <c r="O12" i="19"/>
  <c r="AS11" i="22"/>
  <c r="AS15" i="22" s="1"/>
  <c r="AS9" i="22"/>
  <c r="AS13" i="22" s="1"/>
  <c r="AS4" i="9" s="1"/>
  <c r="AS6" i="9" s="1"/>
  <c r="AR6" i="9"/>
  <c r="AW13" i="9"/>
  <c r="E13" i="4" s="1"/>
  <c r="E12" i="10"/>
  <c r="E13" i="17" s="1"/>
  <c r="AR14" i="9"/>
  <c r="AR17" i="7"/>
  <c r="AR19" i="7" s="1"/>
  <c r="AT3" i="7"/>
  <c r="AT8" i="1"/>
  <c r="AT7" i="22"/>
  <c r="AX43" i="21"/>
  <c r="AW53" i="21"/>
  <c r="AX12" i="7"/>
  <c r="AY7" i="1"/>
  <c r="AZ9" i="1"/>
  <c r="AY14" i="7"/>
  <c r="AY15" i="9" s="1"/>
  <c r="AZ15" i="7"/>
  <c r="AZ16" i="9" s="1"/>
  <c r="BA10" i="1"/>
  <c r="AS13" i="7"/>
  <c r="BB9" i="7"/>
  <c r="BC4" i="1"/>
  <c r="AU40" i="2"/>
  <c r="AU44" i="2"/>
  <c r="AU41" i="2"/>
  <c r="AU42" i="2"/>
  <c r="AU43" i="2"/>
  <c r="AU6" i="2"/>
  <c r="AZ23" i="21"/>
  <c r="AY33" i="21"/>
  <c r="AR10" i="8"/>
  <c r="D29" i="9"/>
  <c r="E26" i="9"/>
  <c r="E27" i="9" s="1"/>
  <c r="AU4" i="8"/>
  <c r="AT47" i="2"/>
  <c r="AT4" i="7" s="1"/>
  <c r="AT20" i="9" s="1"/>
  <c r="BA10" i="9"/>
  <c r="AW10" i="19"/>
  <c r="AV19" i="9"/>
  <c r="AX5" i="1"/>
  <c r="AW10" i="7"/>
  <c r="E19" i="1"/>
  <c r="AW11" i="7"/>
  <c r="AX6" i="1"/>
  <c r="E20" i="1"/>
  <c r="AW47" i="21"/>
  <c r="AV57" i="21"/>
  <c r="AV59" i="21" s="1"/>
  <c r="AV11" i="9"/>
  <c r="AX15" i="9"/>
  <c r="AV20" i="2"/>
  <c r="AV3" i="2" s="1"/>
  <c r="AW19" i="2"/>
  <c r="AZ20" i="8"/>
  <c r="E21" i="8"/>
  <c r="D23" i="8"/>
  <c r="D25" i="8" s="1"/>
  <c r="AX37" i="21"/>
  <c r="AY27" i="21"/>
  <c r="AS5" i="7"/>
  <c r="BA3" i="21"/>
  <c r="AZ9" i="21"/>
  <c r="AX55" i="21" l="1"/>
  <c r="AW6" i="8" s="1"/>
  <c r="E6" i="3" s="1"/>
  <c r="AZ25" i="21"/>
  <c r="AY35" i="21"/>
  <c r="AY45" i="21" s="1"/>
  <c r="AY24" i="21"/>
  <c r="AX34" i="21"/>
  <c r="AX29" i="21"/>
  <c r="AW44" i="21"/>
  <c r="AW54" i="21" s="1"/>
  <c r="AV5" i="8" s="1"/>
  <c r="AW39" i="21"/>
  <c r="AV12" i="1" s="1"/>
  <c r="AV25" i="7" s="1"/>
  <c r="AY26" i="21"/>
  <c r="AX36" i="21"/>
  <c r="AX46" i="21" s="1"/>
  <c r="AX56" i="21"/>
  <c r="D27" i="8"/>
  <c r="AT5" i="7"/>
  <c r="AS10" i="8"/>
  <c r="BB10" i="1"/>
  <c r="BA15" i="7"/>
  <c r="BA16" i="9" s="1"/>
  <c r="O13" i="19"/>
  <c r="AU47" i="2"/>
  <c r="AU4" i="7" s="1"/>
  <c r="AU20" i="9" s="1"/>
  <c r="BA9" i="1"/>
  <c r="AZ14" i="7"/>
  <c r="AZ15" i="9" s="1"/>
  <c r="O21" i="7"/>
  <c r="O14" i="1"/>
  <c r="AV44" i="2"/>
  <c r="AV40" i="2"/>
  <c r="AV6" i="2"/>
  <c r="AV42" i="2"/>
  <c r="AV43" i="2"/>
  <c r="AV41" i="2"/>
  <c r="AW12" i="9"/>
  <c r="E12" i="4" s="1"/>
  <c r="E11" i="10"/>
  <c r="E12" i="17" s="1"/>
  <c r="AX47" i="21"/>
  <c r="AW57" i="21"/>
  <c r="F26" i="9"/>
  <c r="F27" i="9" s="1"/>
  <c r="E29" i="9"/>
  <c r="BB10" i="9"/>
  <c r="AX13" i="9"/>
  <c r="AY37" i="21"/>
  <c r="AZ27" i="21"/>
  <c r="AY5" i="1"/>
  <c r="AX10" i="7"/>
  <c r="BD4" i="1"/>
  <c r="BC9" i="7"/>
  <c r="AZ33" i="21"/>
  <c r="BA23" i="21"/>
  <c r="AV4" i="8"/>
  <c r="AX11" i="7"/>
  <c r="AY6" i="1"/>
  <c r="F21" i="8"/>
  <c r="E23" i="8"/>
  <c r="E25" i="8" s="1"/>
  <c r="BB3" i="21"/>
  <c r="BA9" i="21"/>
  <c r="AT13" i="7"/>
  <c r="AW11" i="9"/>
  <c r="E10" i="10"/>
  <c r="AU3" i="7"/>
  <c r="AU8" i="1"/>
  <c r="AU7" i="22"/>
  <c r="AS14" i="9"/>
  <c r="AS17" i="7"/>
  <c r="AS19" i="7" s="1"/>
  <c r="AY43" i="21"/>
  <c r="AX53" i="21"/>
  <c r="AW20" i="2"/>
  <c r="AW3" i="2" s="1"/>
  <c r="AX19" i="2"/>
  <c r="F9" i="8"/>
  <c r="E13" i="8"/>
  <c r="AY12" i="7"/>
  <c r="AY13" i="9" s="1"/>
  <c r="AZ7" i="1"/>
  <c r="BA20" i="8"/>
  <c r="AW19" i="9"/>
  <c r="E19" i="4" s="1"/>
  <c r="AX10" i="19"/>
  <c r="E18" i="19"/>
  <c r="AT9" i="22"/>
  <c r="AT13" i="22" s="1"/>
  <c r="AT4" i="9" s="1"/>
  <c r="AT6" i="9" s="1"/>
  <c r="AT11" i="22"/>
  <c r="AT15" i="22" s="1"/>
  <c r="AY55" i="21" l="1"/>
  <c r="AX6" i="8" s="1"/>
  <c r="AX44" i="21"/>
  <c r="AY34" i="21"/>
  <c r="AZ24" i="21"/>
  <c r="AX39" i="21"/>
  <c r="AW12" i="1" s="1"/>
  <c r="AW49" i="21"/>
  <c r="AY29" i="21"/>
  <c r="AZ35" i="21"/>
  <c r="AZ45" i="21" s="1"/>
  <c r="BA25" i="21"/>
  <c r="AW59" i="21"/>
  <c r="AY36" i="21"/>
  <c r="AY46" i="21" s="1"/>
  <c r="AY56" i="21" s="1"/>
  <c r="AZ26" i="21"/>
  <c r="E27" i="8"/>
  <c r="AU5" i="7"/>
  <c r="AT10" i="8"/>
  <c r="BB15" i="7"/>
  <c r="BB16" i="9" s="1"/>
  <c r="BC10" i="1"/>
  <c r="BB9" i="21"/>
  <c r="BC3" i="21"/>
  <c r="AX12" i="9"/>
  <c r="O23" i="7"/>
  <c r="O27" i="7" s="1"/>
  <c r="BA7" i="1"/>
  <c r="AZ12" i="7"/>
  <c r="AZ13" i="9" s="1"/>
  <c r="AU11" i="22"/>
  <c r="AU15" i="22" s="1"/>
  <c r="AU9" i="22"/>
  <c r="AU13" i="22" s="1"/>
  <c r="AU4" i="9" s="1"/>
  <c r="AU6" i="9" s="1"/>
  <c r="BA14" i="7"/>
  <c r="BA15" i="9" s="1"/>
  <c r="BB9" i="1"/>
  <c r="AV3" i="7"/>
  <c r="AV7" i="22"/>
  <c r="AV8" i="1"/>
  <c r="BC10" i="9"/>
  <c r="AZ43" i="21"/>
  <c r="AY53" i="21"/>
  <c r="AU13" i="7"/>
  <c r="AX20" i="2"/>
  <c r="AX3" i="2" s="1"/>
  <c r="AY19" i="2"/>
  <c r="AX11" i="9"/>
  <c r="AV47" i="2"/>
  <c r="AV4" i="7" s="1"/>
  <c r="AV20" i="9" s="1"/>
  <c r="BB20" i="8"/>
  <c r="AT14" i="9"/>
  <c r="AT17" i="7"/>
  <c r="AT19" i="7" s="1"/>
  <c r="AZ6" i="1"/>
  <c r="AY11" i="7"/>
  <c r="AY12" i="9" s="1"/>
  <c r="G9" i="8"/>
  <c r="F13" i="8"/>
  <c r="AW6" i="2"/>
  <c r="AW41" i="2"/>
  <c r="AW40" i="2"/>
  <c r="AW42" i="2"/>
  <c r="AW44" i="2"/>
  <c r="AW43" i="2"/>
  <c r="AY10" i="19"/>
  <c r="AX19" i="9"/>
  <c r="E11" i="17"/>
  <c r="G21" i="8"/>
  <c r="F23" i="8"/>
  <c r="F25" i="8" s="1"/>
  <c r="BB23" i="21"/>
  <c r="BA33" i="21"/>
  <c r="AZ5" i="1"/>
  <c r="AY10" i="7"/>
  <c r="G26" i="9"/>
  <c r="G27" i="9" s="1"/>
  <c r="F29" i="9"/>
  <c r="AW4" i="8"/>
  <c r="AY47" i="21"/>
  <c r="AX57" i="21"/>
  <c r="BA27" i="21"/>
  <c r="AZ37" i="21"/>
  <c r="BE4" i="1"/>
  <c r="BD9" i="7"/>
  <c r="E11" i="4"/>
  <c r="P9" i="19"/>
  <c r="O17" i="8"/>
  <c r="O18" i="8" s="1"/>
  <c r="AY44" i="21" l="1"/>
  <c r="AY54" i="21" s="1"/>
  <c r="AX5" i="8" s="1"/>
  <c r="AY39" i="21"/>
  <c r="AX12" i="1" s="1"/>
  <c r="AX25" i="7" s="1"/>
  <c r="AZ55" i="21"/>
  <c r="AY6" i="8" s="1"/>
  <c r="BB25" i="21"/>
  <c r="BA35" i="21"/>
  <c r="BA45" i="21" s="1"/>
  <c r="BA55" i="21" s="1"/>
  <c r="AZ6" i="8" s="1"/>
  <c r="AW25" i="7"/>
  <c r="E25" i="10" s="1"/>
  <c r="E26" i="1"/>
  <c r="BA24" i="21"/>
  <c r="AZ34" i="21"/>
  <c r="BA26" i="21"/>
  <c r="AZ36" i="21"/>
  <c r="AZ46" i="21" s="1"/>
  <c r="AZ56" i="21" s="1"/>
  <c r="AX49" i="21"/>
  <c r="AX54" i="21"/>
  <c r="AX59" i="21"/>
  <c r="AY49" i="21"/>
  <c r="AZ29" i="21"/>
  <c r="F27" i="8"/>
  <c r="AU10" i="8"/>
  <c r="BC9" i="1"/>
  <c r="BB14" i="7"/>
  <c r="BB15" i="9" s="1"/>
  <c r="BD3" i="21"/>
  <c r="BC9" i="21"/>
  <c r="G29" i="9"/>
  <c r="H26" i="9"/>
  <c r="H27" i="9" s="1"/>
  <c r="H9" i="8"/>
  <c r="G13" i="8"/>
  <c r="AX4" i="8"/>
  <c r="BB27" i="21"/>
  <c r="BA37" i="21"/>
  <c r="AY11" i="9"/>
  <c r="BD10" i="1"/>
  <c r="BC15" i="7"/>
  <c r="BA5" i="1"/>
  <c r="AZ10" i="7"/>
  <c r="BB33" i="21"/>
  <c r="BC23" i="21"/>
  <c r="BA12" i="7"/>
  <c r="BA13" i="9" s="1"/>
  <c r="BB7" i="1"/>
  <c r="E4" i="3"/>
  <c r="AZ19" i="2"/>
  <c r="AY20" i="2"/>
  <c r="AY3" i="2" s="1"/>
  <c r="AV13" i="7"/>
  <c r="AZ47" i="21"/>
  <c r="AY57" i="21"/>
  <c r="P11" i="19"/>
  <c r="H21" i="8"/>
  <c r="G23" i="8"/>
  <c r="G25" i="8" s="1"/>
  <c r="AW47" i="2"/>
  <c r="AW4" i="7" s="1"/>
  <c r="AX42" i="2"/>
  <c r="AX43" i="2"/>
  <c r="AX40" i="2"/>
  <c r="AX41" i="2"/>
  <c r="AX44" i="2"/>
  <c r="AX6" i="2"/>
  <c r="AV9" i="22"/>
  <c r="AV13" i="22" s="1"/>
  <c r="AV4" i="9" s="1"/>
  <c r="AV6" i="9" s="1"/>
  <c r="AV11" i="22"/>
  <c r="AV15" i="22" s="1"/>
  <c r="AZ10" i="19"/>
  <c r="AY19" i="9"/>
  <c r="BA43" i="21"/>
  <c r="AZ53" i="21"/>
  <c r="AZ11" i="7"/>
  <c r="AZ12" i="9" s="1"/>
  <c r="BA6" i="1"/>
  <c r="BD10" i="9"/>
  <c r="AV5" i="7"/>
  <c r="BF4" i="1"/>
  <c r="BE9" i="7"/>
  <c r="AW8" i="1"/>
  <c r="AW7" i="22"/>
  <c r="AW3" i="7"/>
  <c r="BC20" i="8"/>
  <c r="AU14" i="9"/>
  <c r="AU17" i="7"/>
  <c r="AU19" i="7" s="1"/>
  <c r="AW5" i="8" l="1"/>
  <c r="E5" i="3" s="1"/>
  <c r="AZ44" i="21"/>
  <c r="AZ54" i="21" s="1"/>
  <c r="AY5" i="8" s="1"/>
  <c r="AZ39" i="21"/>
  <c r="AY12" i="1" s="1"/>
  <c r="AY25" i="7" s="1"/>
  <c r="BA36" i="21"/>
  <c r="BA46" i="21" s="1"/>
  <c r="BA56" i="21" s="1"/>
  <c r="BB26" i="21"/>
  <c r="AY59" i="21"/>
  <c r="BB24" i="21"/>
  <c r="BA34" i="21"/>
  <c r="BA29" i="21"/>
  <c r="E18" i="17"/>
  <c r="G18" i="16"/>
  <c r="BB35" i="21"/>
  <c r="BB45" i="21" s="1"/>
  <c r="BC25" i="21"/>
  <c r="G27" i="8"/>
  <c r="AV10" i="8"/>
  <c r="I21" i="8"/>
  <c r="H23" i="8"/>
  <c r="H25" i="8" s="1"/>
  <c r="BB55" i="21"/>
  <c r="BA6" i="8" s="1"/>
  <c r="AX8" i="1"/>
  <c r="AX7" i="22"/>
  <c r="AX3" i="7"/>
  <c r="BE10" i="9"/>
  <c r="BF9" i="7"/>
  <c r="BG4" i="1"/>
  <c r="P11" i="1"/>
  <c r="P12" i="19"/>
  <c r="BD9" i="1"/>
  <c r="BC14" i="7"/>
  <c r="BC7" i="1"/>
  <c r="BB12" i="7"/>
  <c r="AZ11" i="9"/>
  <c r="BB5" i="1"/>
  <c r="BA10" i="7"/>
  <c r="BD20" i="8"/>
  <c r="AY4" i="8"/>
  <c r="I9" i="8"/>
  <c r="H13" i="8"/>
  <c r="BD23" i="21"/>
  <c r="BC33" i="21"/>
  <c r="BE10" i="1"/>
  <c r="BD15" i="7"/>
  <c r="BD16" i="9" s="1"/>
  <c r="H29" i="9"/>
  <c r="I26" i="9"/>
  <c r="I27" i="9" s="1"/>
  <c r="AZ20" i="2"/>
  <c r="AZ3" i="2" s="1"/>
  <c r="BA19" i="2"/>
  <c r="BA47" i="21"/>
  <c r="AZ57" i="21"/>
  <c r="AX47" i="2"/>
  <c r="AX4" i="7" s="1"/>
  <c r="AW5" i="7"/>
  <c r="E3" i="10"/>
  <c r="BB43" i="21"/>
  <c r="BA53" i="21"/>
  <c r="AW9" i="22"/>
  <c r="AW13" i="22" s="1"/>
  <c r="AW4" i="9" s="1"/>
  <c r="AW11" i="22"/>
  <c r="AW15" i="22" s="1"/>
  <c r="BA11" i="7"/>
  <c r="BB6" i="1"/>
  <c r="BC16" i="9"/>
  <c r="AW13" i="7"/>
  <c r="E22" i="1"/>
  <c r="AW20" i="9"/>
  <c r="E20" i="4" s="1"/>
  <c r="E4" i="10"/>
  <c r="E5" i="17" s="1"/>
  <c r="AV14" i="9"/>
  <c r="AV17" i="7"/>
  <c r="AV19" i="7" s="1"/>
  <c r="BD9" i="21"/>
  <c r="BE3" i="21"/>
  <c r="BC27" i="21"/>
  <c r="BB37" i="21"/>
  <c r="BA10" i="19"/>
  <c r="AZ19" i="9"/>
  <c r="AY43" i="2"/>
  <c r="AY44" i="2"/>
  <c r="AY40" i="2"/>
  <c r="AY41" i="2"/>
  <c r="AY42" i="2"/>
  <c r="AY6" i="2"/>
  <c r="AZ59" i="21" l="1"/>
  <c r="BA44" i="21"/>
  <c r="BA54" i="21" s="1"/>
  <c r="AZ5" i="8" s="1"/>
  <c r="AZ49" i="21"/>
  <c r="BB34" i="21"/>
  <c r="BC24" i="21"/>
  <c r="BA39" i="21"/>
  <c r="AZ12" i="1" s="1"/>
  <c r="AZ25" i="7" s="1"/>
  <c r="BB29" i="21"/>
  <c r="BB36" i="21"/>
  <c r="BB46" i="21" s="1"/>
  <c r="BC26" i="21"/>
  <c r="BD25" i="21"/>
  <c r="BC35" i="21"/>
  <c r="BC45" i="21" s="1"/>
  <c r="H27" i="8"/>
  <c r="AY47" i="2"/>
  <c r="AY4" i="7" s="1"/>
  <c r="AY20" i="9" s="1"/>
  <c r="BA12" i="9"/>
  <c r="BE23" i="21"/>
  <c r="BD33" i="21"/>
  <c r="BA11" i="9"/>
  <c r="P13" i="19"/>
  <c r="AX5" i="7"/>
  <c r="BF3" i="21"/>
  <c r="BE9" i="21"/>
  <c r="B7" i="25"/>
  <c r="E4" i="17"/>
  <c r="E12" i="18"/>
  <c r="E3" i="5"/>
  <c r="AX20" i="9"/>
  <c r="AX11" i="22"/>
  <c r="AX9" i="22"/>
  <c r="AX13" i="22" s="1"/>
  <c r="AX4" i="9" s="1"/>
  <c r="BB10" i="19"/>
  <c r="BA19" i="9"/>
  <c r="BB47" i="21"/>
  <c r="BA57" i="21"/>
  <c r="BA20" i="2"/>
  <c r="BA3" i="2" s="1"/>
  <c r="BB19" i="2"/>
  <c r="BH4" i="1"/>
  <c r="BG9" i="7"/>
  <c r="BC15" i="9"/>
  <c r="BE9" i="1"/>
  <c r="BD14" i="7"/>
  <c r="BD15" i="9" s="1"/>
  <c r="AX13" i="7"/>
  <c r="AW6" i="9"/>
  <c r="E4" i="4"/>
  <c r="E6" i="4" s="1"/>
  <c r="AZ40" i="2"/>
  <c r="AZ41" i="2"/>
  <c r="AZ43" i="2"/>
  <c r="AZ6" i="2"/>
  <c r="AZ44" i="2"/>
  <c r="AZ42" i="2"/>
  <c r="BF10" i="9"/>
  <c r="J21" i="8"/>
  <c r="I23" i="8"/>
  <c r="I25" i="8" s="1"/>
  <c r="BC6" i="1"/>
  <c r="BB11" i="7"/>
  <c r="BB12" i="9" s="1"/>
  <c r="AY3" i="7"/>
  <c r="AY8" i="1"/>
  <c r="AY7" i="22"/>
  <c r="AW14" i="9"/>
  <c r="AW17" i="7"/>
  <c r="AW19" i="7" s="1"/>
  <c r="E13" i="10"/>
  <c r="AZ4" i="8"/>
  <c r="J26" i="9"/>
  <c r="J27" i="9" s="1"/>
  <c r="I29" i="9"/>
  <c r="J9" i="8"/>
  <c r="I13" i="8"/>
  <c r="BB13" i="9"/>
  <c r="BE20" i="8"/>
  <c r="P21" i="7"/>
  <c r="P14" i="1"/>
  <c r="AW10" i="8"/>
  <c r="E10" i="3" s="1"/>
  <c r="E5" i="18" s="1"/>
  <c r="BD7" i="1"/>
  <c r="BC12" i="7"/>
  <c r="BC13" i="9" s="1"/>
  <c r="BE15" i="7"/>
  <c r="BE16" i="9" s="1"/>
  <c r="BF10" i="1"/>
  <c r="E5" i="10"/>
  <c r="BB10" i="7"/>
  <c r="BC5" i="1"/>
  <c r="BD27" i="21"/>
  <c r="BC37" i="21"/>
  <c r="BC43" i="21"/>
  <c r="BB53" i="21"/>
  <c r="BA59" i="21" l="1"/>
  <c r="BA49" i="21"/>
  <c r="BC55" i="21"/>
  <c r="BB6" i="8" s="1"/>
  <c r="BD35" i="21"/>
  <c r="BD45" i="21" s="1"/>
  <c r="BE25" i="21"/>
  <c r="BD26" i="21"/>
  <c r="BC36" i="21"/>
  <c r="BC46" i="21" s="1"/>
  <c r="BC56" i="21" s="1"/>
  <c r="BD24" i="21"/>
  <c r="BC34" i="21"/>
  <c r="BC29" i="21"/>
  <c r="BB44" i="21"/>
  <c r="BB54" i="21" s="1"/>
  <c r="BA5" i="8" s="1"/>
  <c r="BB39" i="21"/>
  <c r="BA12" i="1" s="1"/>
  <c r="BA25" i="7" s="1"/>
  <c r="BB56" i="21"/>
  <c r="AY5" i="7"/>
  <c r="AZ3" i="7"/>
  <c r="AZ7" i="22"/>
  <c r="AZ8" i="1"/>
  <c r="AZ47" i="2"/>
  <c r="AZ4" i="7" s="1"/>
  <c r="BG3" i="21"/>
  <c r="BF9" i="21"/>
  <c r="K21" i="8"/>
  <c r="J23" i="8"/>
  <c r="J25" i="8" s="1"/>
  <c r="BD43" i="21"/>
  <c r="BC53" i="21"/>
  <c r="BG10" i="1"/>
  <c r="BF15" i="7"/>
  <c r="BF16" i="9" s="1"/>
  <c r="E14" i="4"/>
  <c r="BC10" i="19"/>
  <c r="BB19" i="9"/>
  <c r="BC10" i="7"/>
  <c r="BD5" i="1"/>
  <c r="BE14" i="7"/>
  <c r="BE15" i="9" s="1"/>
  <c r="BF9" i="1"/>
  <c r="BE33" i="21"/>
  <c r="BF23" i="21"/>
  <c r="P23" i="7"/>
  <c r="P27" i="7" s="1"/>
  <c r="AX6" i="9"/>
  <c r="AY13" i="7"/>
  <c r="BE27" i="21"/>
  <c r="BD37" i="21"/>
  <c r="I27" i="8"/>
  <c r="BB11" i="9"/>
  <c r="BC11" i="7"/>
  <c r="BC12" i="9" s="1"/>
  <c r="BD6" i="1"/>
  <c r="BC47" i="21"/>
  <c r="BB57" i="21"/>
  <c r="BA4" i="8"/>
  <c r="BG10" i="9"/>
  <c r="K9" i="8"/>
  <c r="J13" i="8"/>
  <c r="E6" i="17"/>
  <c r="E10" i="5"/>
  <c r="E12" i="5" s="1"/>
  <c r="BF20" i="8"/>
  <c r="BH9" i="7"/>
  <c r="BI4" i="1"/>
  <c r="BB20" i="2"/>
  <c r="BB3" i="2" s="1"/>
  <c r="BC19" i="2"/>
  <c r="E14" i="17"/>
  <c r="E17" i="10"/>
  <c r="AY9" i="22"/>
  <c r="AY13" i="22" s="1"/>
  <c r="AY4" i="9" s="1"/>
  <c r="AY6" i="9" s="1"/>
  <c r="AY11" i="22"/>
  <c r="Q9" i="19"/>
  <c r="P17" i="8"/>
  <c r="P18" i="8" s="1"/>
  <c r="BD12" i="7"/>
  <c r="BE7" i="1"/>
  <c r="AX15" i="22"/>
  <c r="J29" i="9"/>
  <c r="K26" i="9"/>
  <c r="K27" i="9" s="1"/>
  <c r="AX14" i="9"/>
  <c r="AX17" i="7"/>
  <c r="AX19" i="7" s="1"/>
  <c r="BA41" i="2"/>
  <c r="BA42" i="2"/>
  <c r="BA6" i="2"/>
  <c r="BA43" i="2"/>
  <c r="BA40" i="2"/>
  <c r="BA44" i="2"/>
  <c r="BB59" i="21" l="1"/>
  <c r="BB49" i="21"/>
  <c r="BD55" i="21"/>
  <c r="BC6" i="8" s="1"/>
  <c r="BC44" i="21"/>
  <c r="BC54" i="21" s="1"/>
  <c r="BB5" i="8" s="1"/>
  <c r="BC39" i="21"/>
  <c r="BB12" i="1" s="1"/>
  <c r="BB25" i="7" s="1"/>
  <c r="BD36" i="21"/>
  <c r="BD46" i="21" s="1"/>
  <c r="BE26" i="21"/>
  <c r="BD56" i="21"/>
  <c r="BD34" i="21"/>
  <c r="BE24" i="21"/>
  <c r="BD29" i="21"/>
  <c r="BE35" i="21"/>
  <c r="BE45" i="21" s="1"/>
  <c r="BE55" i="21" s="1"/>
  <c r="BD6" i="8" s="1"/>
  <c r="BF25" i="21"/>
  <c r="J27" i="8"/>
  <c r="BH10" i="9"/>
  <c r="K29" i="9"/>
  <c r="L26" i="9"/>
  <c r="L27" i="9" s="1"/>
  <c r="BG23" i="21"/>
  <c r="BF33" i="21"/>
  <c r="BE6" i="1"/>
  <c r="BD11" i="7"/>
  <c r="BG9" i="21"/>
  <c r="BH3" i="21"/>
  <c r="E13" i="18"/>
  <c r="E3" i="18"/>
  <c r="BG9" i="1"/>
  <c r="BF14" i="7"/>
  <c r="BF15" i="9" s="1"/>
  <c r="AZ20" i="9"/>
  <c r="AY15" i="22"/>
  <c r="AX10" i="8"/>
  <c r="AZ13" i="7"/>
  <c r="BH10" i="1"/>
  <c r="BG15" i="7"/>
  <c r="BG16" i="9" s="1"/>
  <c r="BC20" i="2"/>
  <c r="BC3" i="2" s="1"/>
  <c r="BD19" i="2"/>
  <c r="BC11" i="9"/>
  <c r="BB4" i="8"/>
  <c r="BA3" i="7"/>
  <c r="BA8" i="1"/>
  <c r="BA7" i="22"/>
  <c r="BB44" i="2"/>
  <c r="BB6" i="2"/>
  <c r="BB41" i="2"/>
  <c r="BB43" i="2"/>
  <c r="BB40" i="2"/>
  <c r="BB42" i="2"/>
  <c r="BE12" i="7"/>
  <c r="BE13" i="9" s="1"/>
  <c r="BF7" i="1"/>
  <c r="AY14" i="9"/>
  <c r="AY17" i="7"/>
  <c r="AY19" i="7" s="1"/>
  <c r="AZ9" i="22"/>
  <c r="AZ13" i="22" s="1"/>
  <c r="AZ4" i="9" s="1"/>
  <c r="AZ6" i="9" s="1"/>
  <c r="AZ11" i="22"/>
  <c r="BD10" i="7"/>
  <c r="BE5" i="1"/>
  <c r="BG20" i="8"/>
  <c r="Q11" i="19"/>
  <c r="E19" i="10"/>
  <c r="BE43" i="21"/>
  <c r="BD53" i="21"/>
  <c r="AZ5" i="7"/>
  <c r="L21" i="8"/>
  <c r="K23" i="8"/>
  <c r="K25" i="8" s="1"/>
  <c r="BD47" i="21"/>
  <c r="BC57" i="21"/>
  <c r="BA47" i="2"/>
  <c r="BA4" i="7" s="1"/>
  <c r="BA20" i="9" s="1"/>
  <c r="BD13" i="9"/>
  <c r="L9" i="8"/>
  <c r="K13" i="8"/>
  <c r="BE37" i="21"/>
  <c r="BF27" i="21"/>
  <c r="BI9" i="7"/>
  <c r="F18" i="1"/>
  <c r="BD10" i="19"/>
  <c r="BC19" i="9"/>
  <c r="BE34" i="21" l="1"/>
  <c r="BF24" i="21"/>
  <c r="BD44" i="21"/>
  <c r="BD39" i="21"/>
  <c r="BC12" i="1" s="1"/>
  <c r="BC25" i="7" s="1"/>
  <c r="BC49" i="21"/>
  <c r="BE36" i="21"/>
  <c r="BE46" i="21" s="1"/>
  <c r="BE56" i="21" s="1"/>
  <c r="BF26" i="21"/>
  <c r="BF35" i="21"/>
  <c r="BF45" i="21" s="1"/>
  <c r="BF55" i="21" s="1"/>
  <c r="BE6" i="8" s="1"/>
  <c r="BG25" i="21"/>
  <c r="BE29" i="21"/>
  <c r="BC59" i="21"/>
  <c r="BI10" i="9"/>
  <c r="F9" i="10"/>
  <c r="BA11" i="22"/>
  <c r="BA9" i="22"/>
  <c r="BA13" i="22" s="1"/>
  <c r="BA4" i="9" s="1"/>
  <c r="BE47" i="21"/>
  <c r="BD57" i="21"/>
  <c r="BA13" i="7"/>
  <c r="BH9" i="1"/>
  <c r="BG14" i="7"/>
  <c r="BG15" i="9" s="1"/>
  <c r="BE10" i="19"/>
  <c r="BD19" i="9"/>
  <c r="BG7" i="1"/>
  <c r="BF12" i="7"/>
  <c r="BF13" i="9" s="1"/>
  <c r="BA5" i="7"/>
  <c r="BF5" i="1"/>
  <c r="BE10" i="7"/>
  <c r="BF43" i="21"/>
  <c r="BE53" i="21"/>
  <c r="BG27" i="21"/>
  <c r="BF37" i="21"/>
  <c r="M21" i="8"/>
  <c r="L23" i="8"/>
  <c r="L25" i="8" s="1"/>
  <c r="AZ14" i="9"/>
  <c r="AZ17" i="7"/>
  <c r="AZ19" i="7" s="1"/>
  <c r="BG33" i="21"/>
  <c r="BH23" i="21"/>
  <c r="Q11" i="1"/>
  <c r="Q12" i="19"/>
  <c r="L29" i="9"/>
  <c r="M26" i="9"/>
  <c r="M27" i="9" s="1"/>
  <c r="BH20" i="8"/>
  <c r="BI3" i="21"/>
  <c r="BH9" i="21"/>
  <c r="K27" i="8"/>
  <c r="BB47" i="2"/>
  <c r="BB4" i="7" s="1"/>
  <c r="BB20" i="9" s="1"/>
  <c r="BC4" i="8"/>
  <c r="BB8" i="1"/>
  <c r="BB7" i="22"/>
  <c r="BB3" i="7"/>
  <c r="BF6" i="1"/>
  <c r="BE11" i="7"/>
  <c r="BE12" i="9" s="1"/>
  <c r="M9" i="8"/>
  <c r="L13" i="8"/>
  <c r="BD20" i="2"/>
  <c r="BD3" i="2" s="1"/>
  <c r="BE19" i="2"/>
  <c r="BD11" i="9"/>
  <c r="BC43" i="2"/>
  <c r="BC44" i="2"/>
  <c r="BC40" i="2"/>
  <c r="BC41" i="2"/>
  <c r="BC6" i="2"/>
  <c r="BC42" i="2"/>
  <c r="AZ15" i="22"/>
  <c r="AY10" i="8"/>
  <c r="BD12" i="9"/>
  <c r="BI10" i="1"/>
  <c r="BH15" i="7"/>
  <c r="BH16" i="9" s="1"/>
  <c r="BE39" i="21" l="1"/>
  <c r="BD12" i="1" s="1"/>
  <c r="BD25" i="7" s="1"/>
  <c r="BE44" i="21"/>
  <c r="BD54" i="21"/>
  <c r="BC5" i="8" s="1"/>
  <c r="BG24" i="21"/>
  <c r="BF34" i="21"/>
  <c r="BF29" i="21"/>
  <c r="BH25" i="21"/>
  <c r="BG35" i="21"/>
  <c r="BG45" i="21" s="1"/>
  <c r="BG55" i="21" s="1"/>
  <c r="BF6" i="8" s="1"/>
  <c r="BD49" i="21"/>
  <c r="BF36" i="21"/>
  <c r="BF46" i="21" s="1"/>
  <c r="BF56" i="21" s="1"/>
  <c r="BG26" i="21"/>
  <c r="BD44" i="2"/>
  <c r="BD43" i="2"/>
  <c r="BD40" i="2"/>
  <c r="BD6" i="2"/>
  <c r="BD42" i="2"/>
  <c r="BD41" i="2"/>
  <c r="Q13" i="19"/>
  <c r="N21" i="8"/>
  <c r="M23" i="8"/>
  <c r="M25" i="8" s="1"/>
  <c r="BF19" i="2"/>
  <c r="BE20" i="2"/>
  <c r="BE3" i="2" s="1"/>
  <c r="BA15" i="22"/>
  <c r="AZ10" i="8"/>
  <c r="L27" i="8"/>
  <c r="Q21" i="7"/>
  <c r="Q14" i="1"/>
  <c r="BH7" i="1"/>
  <c r="BG12" i="7"/>
  <c r="BG13" i="9" s="1"/>
  <c r="BF47" i="21"/>
  <c r="BE57" i="21"/>
  <c r="BF10" i="7"/>
  <c r="BG5" i="1"/>
  <c r="B9" i="3"/>
  <c r="M13" i="8"/>
  <c r="BA6" i="9"/>
  <c r="BG37" i="21"/>
  <c r="BH27" i="21"/>
  <c r="BF11" i="7"/>
  <c r="BF12" i="9" s="1"/>
  <c r="BG6" i="1"/>
  <c r="BH33" i="21"/>
  <c r="BI23" i="21"/>
  <c r="BC47" i="2"/>
  <c r="BC4" i="7" s="1"/>
  <c r="BC20" i="9" s="1"/>
  <c r="BD4" i="8"/>
  <c r="BE19" i="9"/>
  <c r="BF10" i="19"/>
  <c r="BA14" i="9"/>
  <c r="BA17" i="7"/>
  <c r="BA19" i="7" s="1"/>
  <c r="BC7" i="22"/>
  <c r="BC3" i="7"/>
  <c r="BC8" i="1"/>
  <c r="BI20" i="8"/>
  <c r="BB11" i="22"/>
  <c r="BB9" i="22"/>
  <c r="BB13" i="22" s="1"/>
  <c r="BB4" i="9" s="1"/>
  <c r="BB6" i="9" s="1"/>
  <c r="BH14" i="7"/>
  <c r="BH15" i="9" s="1"/>
  <c r="BI9" i="1"/>
  <c r="BB13" i="7"/>
  <c r="M29" i="9"/>
  <c r="N26" i="9"/>
  <c r="BI15" i="7"/>
  <c r="F24" i="1"/>
  <c r="BB5" i="7"/>
  <c r="BI9" i="21"/>
  <c r="BJ3" i="21"/>
  <c r="BJ9" i="21" s="1"/>
  <c r="BG43" i="21"/>
  <c r="BF53" i="21"/>
  <c r="F10" i="17"/>
  <c r="BE11" i="9"/>
  <c r="F10" i="4"/>
  <c r="BD59" i="21" l="1"/>
  <c r="BH35" i="21"/>
  <c r="BH45" i="21" s="1"/>
  <c r="BH55" i="21" s="1"/>
  <c r="BG6" i="8" s="1"/>
  <c r="BI25" i="21"/>
  <c r="BF39" i="21"/>
  <c r="BE12" i="1" s="1"/>
  <c r="BE25" i="7" s="1"/>
  <c r="BG34" i="21"/>
  <c r="BH24" i="21"/>
  <c r="BG29" i="21"/>
  <c r="BG36" i="21"/>
  <c r="BG46" i="21" s="1"/>
  <c r="BG56" i="21" s="1"/>
  <c r="BH26" i="21"/>
  <c r="BF44" i="21"/>
  <c r="BE54" i="21"/>
  <c r="BD5" i="8" s="1"/>
  <c r="BE49" i="21"/>
  <c r="Q23" i="7"/>
  <c r="Q27" i="7" s="1"/>
  <c r="BG10" i="19"/>
  <c r="BF19" i="9"/>
  <c r="BD47" i="2"/>
  <c r="BD4" i="7" s="1"/>
  <c r="F20" i="3"/>
  <c r="BH37" i="21"/>
  <c r="BI27" i="21"/>
  <c r="BF20" i="2"/>
  <c r="BF3" i="2" s="1"/>
  <c r="BG19" i="2"/>
  <c r="BC13" i="7"/>
  <c r="BG47" i="21"/>
  <c r="BF57" i="21"/>
  <c r="BJ23" i="21"/>
  <c r="BI33" i="21"/>
  <c r="BH43" i="21"/>
  <c r="BG53" i="21"/>
  <c r="BA10" i="8"/>
  <c r="BB15" i="22"/>
  <c r="BC5" i="7"/>
  <c r="R9" i="19"/>
  <c r="Q17" i="8"/>
  <c r="Q18" i="8" s="1"/>
  <c r="BE4" i="8"/>
  <c r="BH6" i="1"/>
  <c r="BG11" i="7"/>
  <c r="BG12" i="9" s="1"/>
  <c r="BD8" i="1"/>
  <c r="BD7" i="22"/>
  <c r="BD3" i="7"/>
  <c r="BE41" i="2"/>
  <c r="BE42" i="2"/>
  <c r="BE6" i="2"/>
  <c r="BE44" i="2"/>
  <c r="BE43" i="2"/>
  <c r="BE40" i="2"/>
  <c r="BB14" i="9"/>
  <c r="BB17" i="7"/>
  <c r="BB19" i="7" s="1"/>
  <c r="BC9" i="22"/>
  <c r="BC13" i="22" s="1"/>
  <c r="BC4" i="9" s="1"/>
  <c r="BC6" i="9" s="1"/>
  <c r="BC11" i="22"/>
  <c r="BI7" i="1"/>
  <c r="BH12" i="7"/>
  <c r="BH13" i="9" s="1"/>
  <c r="BI14" i="7"/>
  <c r="F23" i="1"/>
  <c r="M27" i="8"/>
  <c r="BG10" i="7"/>
  <c r="BH5" i="1"/>
  <c r="BF11" i="9"/>
  <c r="BI16" i="9"/>
  <c r="F16" i="4" s="1"/>
  <c r="F15" i="10"/>
  <c r="F16" i="17" s="1"/>
  <c r="B13" i="3"/>
  <c r="B29" i="4"/>
  <c r="BG39" i="21" l="1"/>
  <c r="BF12" i="1" s="1"/>
  <c r="BF25" i="7" s="1"/>
  <c r="BH36" i="21"/>
  <c r="BH46" i="21" s="1"/>
  <c r="BH56" i="21" s="1"/>
  <c r="BI26" i="21"/>
  <c r="BH29" i="21"/>
  <c r="BI24" i="21"/>
  <c r="BH34" i="21"/>
  <c r="BE59" i="21"/>
  <c r="BG44" i="21"/>
  <c r="BF54" i="21"/>
  <c r="BE5" i="8" s="1"/>
  <c r="BF49" i="21"/>
  <c r="BJ25" i="21"/>
  <c r="BJ35" i="21" s="1"/>
  <c r="BI35" i="21"/>
  <c r="BI45" i="21" s="1"/>
  <c r="BJ45" i="21" s="1"/>
  <c r="BJ55" i="21" s="1"/>
  <c r="BI6" i="8" s="1"/>
  <c r="F6" i="3" s="1"/>
  <c r="BI5" i="1"/>
  <c r="BH10" i="7"/>
  <c r="BD11" i="22"/>
  <c r="BD9" i="22"/>
  <c r="BD13" i="22" s="1"/>
  <c r="BD4" i="9" s="1"/>
  <c r="BD6" i="9" s="1"/>
  <c r="BH10" i="19"/>
  <c r="BG19" i="9"/>
  <c r="BI43" i="21"/>
  <c r="BH53" i="21"/>
  <c r="R11" i="19"/>
  <c r="BG11" i="9"/>
  <c r="B7" i="18"/>
  <c r="B27" i="3"/>
  <c r="B11" i="18"/>
  <c r="B9" i="18"/>
  <c r="BF42" i="2"/>
  <c r="BF41" i="2"/>
  <c r="BF43" i="2"/>
  <c r="BF44" i="2"/>
  <c r="BF6" i="2"/>
  <c r="BF40" i="2"/>
  <c r="BE47" i="2"/>
  <c r="BE4" i="7" s="1"/>
  <c r="BE20" i="9" s="1"/>
  <c r="BF4" i="8"/>
  <c r="BD13" i="7"/>
  <c r="BI6" i="1"/>
  <c r="BH11" i="7"/>
  <c r="BH12" i="9" s="1"/>
  <c r="BJ27" i="21"/>
  <c r="BI37" i="21"/>
  <c r="BD20" i="9"/>
  <c r="BG20" i="2"/>
  <c r="BG3" i="2" s="1"/>
  <c r="BH19" i="2"/>
  <c r="BI15" i="9"/>
  <c r="F15" i="4" s="1"/>
  <c r="F14" i="10"/>
  <c r="F15" i="17" s="1"/>
  <c r="BB10" i="8"/>
  <c r="BC15" i="22"/>
  <c r="BH47" i="21"/>
  <c r="BG57" i="21"/>
  <c r="BI12" i="7"/>
  <c r="F21" i="1"/>
  <c r="BC14" i="9"/>
  <c r="BC17" i="7"/>
  <c r="BC19" i="7" s="1"/>
  <c r="BD5" i="7"/>
  <c r="BJ33" i="21"/>
  <c r="BE3" i="7"/>
  <c r="BE8" i="1"/>
  <c r="BE7" i="22"/>
  <c r="BH39" i="21" l="1"/>
  <c r="BG12" i="1" s="1"/>
  <c r="BG25" i="7" s="1"/>
  <c r="BI55" i="21"/>
  <c r="BH6" i="8" s="1"/>
  <c r="BJ24" i="21"/>
  <c r="BJ34" i="21" s="1"/>
  <c r="BI29" i="21"/>
  <c r="BI34" i="21"/>
  <c r="BF59" i="21"/>
  <c r="BH44" i="21"/>
  <c r="BG54" i="21"/>
  <c r="BF5" i="8" s="1"/>
  <c r="BG49" i="21"/>
  <c r="BI36" i="21"/>
  <c r="BI46" i="21" s="1"/>
  <c r="BI56" i="21" s="1"/>
  <c r="BJ26" i="21"/>
  <c r="BJ36" i="21" s="1"/>
  <c r="BE5" i="7"/>
  <c r="BF47" i="2"/>
  <c r="BF4" i="7" s="1"/>
  <c r="BF20" i="9" s="1"/>
  <c r="BI11" i="7"/>
  <c r="F20" i="1"/>
  <c r="R11" i="1"/>
  <c r="R12" i="19"/>
  <c r="BD15" i="22"/>
  <c r="BC10" i="8"/>
  <c r="BE11" i="22"/>
  <c r="BE9" i="22"/>
  <c r="BE13" i="22" s="1"/>
  <c r="BE4" i="9" s="1"/>
  <c r="BE6" i="9" s="1"/>
  <c r="BI13" i="9"/>
  <c r="F13" i="4" s="1"/>
  <c r="F12" i="10"/>
  <c r="F13" i="17" s="1"/>
  <c r="BI19" i="2"/>
  <c r="BI20" i="2" s="1"/>
  <c r="BI3" i="2" s="1"/>
  <c r="BH20" i="2"/>
  <c r="BH3" i="2" s="1"/>
  <c r="BG4" i="8"/>
  <c r="BH11" i="9"/>
  <c r="BE13" i="7"/>
  <c r="BD14" i="9"/>
  <c r="BD17" i="7"/>
  <c r="BD19" i="7" s="1"/>
  <c r="BI10" i="7"/>
  <c r="F19" i="1"/>
  <c r="BJ43" i="21"/>
  <c r="BI53" i="21"/>
  <c r="BI47" i="21"/>
  <c r="BH57" i="21"/>
  <c r="BH19" i="9"/>
  <c r="BI10" i="19"/>
  <c r="BG40" i="2"/>
  <c r="BG42" i="2"/>
  <c r="BG6" i="2"/>
  <c r="BG41" i="2"/>
  <c r="BG43" i="2"/>
  <c r="BG44" i="2"/>
  <c r="BF3" i="7"/>
  <c r="BF8" i="1"/>
  <c r="BF7" i="22"/>
  <c r="BJ37" i="21"/>
  <c r="BJ46" i="21" l="1"/>
  <c r="BJ56" i="21" s="1"/>
  <c r="BH54" i="21"/>
  <c r="BG5" i="8" s="1"/>
  <c r="BH49" i="21"/>
  <c r="BJ29" i="21"/>
  <c r="BI44" i="21"/>
  <c r="BJ44" i="21" s="1"/>
  <c r="BJ54" i="21" s="1"/>
  <c r="BI39" i="21"/>
  <c r="BH12" i="1" s="1"/>
  <c r="BH25" i="7" s="1"/>
  <c r="BJ39" i="21"/>
  <c r="BI12" i="1" s="1"/>
  <c r="BI25" i="7" s="1"/>
  <c r="BG59" i="21"/>
  <c r="BF5" i="7"/>
  <c r="BJ47" i="21"/>
  <c r="BJ57" i="21" s="1"/>
  <c r="BI57" i="21"/>
  <c r="BE14" i="9"/>
  <c r="BE17" i="7"/>
  <c r="BE19" i="7" s="1"/>
  <c r="BE15" i="22"/>
  <c r="BD10" i="8"/>
  <c r="BH4" i="8"/>
  <c r="R13" i="19"/>
  <c r="BJ53" i="21"/>
  <c r="BG47" i="2"/>
  <c r="BG4" i="7" s="1"/>
  <c r="BG20" i="9" s="1"/>
  <c r="BH44" i="2"/>
  <c r="BH40" i="2"/>
  <c r="BH6" i="2"/>
  <c r="BH42" i="2"/>
  <c r="BH41" i="2"/>
  <c r="BH43" i="2"/>
  <c r="BI12" i="9"/>
  <c r="F12" i="4" s="1"/>
  <c r="F11" i="10"/>
  <c r="F12" i="17" s="1"/>
  <c r="BF13" i="7"/>
  <c r="BI11" i="9"/>
  <c r="F10" i="10"/>
  <c r="BG3" i="7"/>
  <c r="BG8" i="1"/>
  <c r="BG7" i="22"/>
  <c r="R21" i="7"/>
  <c r="R14" i="1"/>
  <c r="BF11" i="22"/>
  <c r="BF9" i="22"/>
  <c r="BF13" i="22" s="1"/>
  <c r="BF4" i="9" s="1"/>
  <c r="BF6" i="9" s="1"/>
  <c r="BI19" i="9"/>
  <c r="F19" i="4" s="1"/>
  <c r="BJ10" i="19"/>
  <c r="F18" i="19"/>
  <c r="BI43" i="2"/>
  <c r="BI44" i="2"/>
  <c r="BI40" i="2"/>
  <c r="BI41" i="2"/>
  <c r="BI42" i="2"/>
  <c r="BI6" i="2"/>
  <c r="BI5" i="8" l="1"/>
  <c r="F5" i="3" s="1"/>
  <c r="F26" i="1"/>
  <c r="F25" i="10"/>
  <c r="BH59" i="21"/>
  <c r="BI54" i="21"/>
  <c r="BH5" i="8" s="1"/>
  <c r="BI49" i="21"/>
  <c r="BG5" i="7"/>
  <c r="BI47" i="2"/>
  <c r="BI4" i="7" s="1"/>
  <c r="BI20" i="9" s="1"/>
  <c r="BH8" i="1"/>
  <c r="BH7" i="22"/>
  <c r="BH3" i="7"/>
  <c r="BG9" i="22"/>
  <c r="BG13" i="22" s="1"/>
  <c r="BG4" i="9" s="1"/>
  <c r="BG6" i="9" s="1"/>
  <c r="BG11" i="22"/>
  <c r="BH47" i="2"/>
  <c r="BH4" i="7" s="1"/>
  <c r="BH20" i="9" s="1"/>
  <c r="F11" i="4"/>
  <c r="BI4" i="8"/>
  <c r="BJ59" i="21"/>
  <c r="BG13" i="7"/>
  <c r="BI3" i="7"/>
  <c r="BI8" i="1"/>
  <c r="BI7" i="22"/>
  <c r="BJ49" i="21"/>
  <c r="F11" i="17"/>
  <c r="BK10" i="19"/>
  <c r="S9" i="19"/>
  <c r="R17" i="8"/>
  <c r="R18" i="8" s="1"/>
  <c r="F18" i="17"/>
  <c r="H18" i="16"/>
  <c r="BF15" i="22"/>
  <c r="BE10" i="8"/>
  <c r="BF14" i="9"/>
  <c r="BF17" i="7"/>
  <c r="BF19" i="7" s="1"/>
  <c r="R23" i="7"/>
  <c r="R27" i="7" s="1"/>
  <c r="BI59" i="21" l="1"/>
  <c r="F4" i="10"/>
  <c r="F5" i="17" s="1"/>
  <c r="BH5" i="7"/>
  <c r="F4" i="3"/>
  <c r="BI11" i="22"/>
  <c r="BI9" i="22"/>
  <c r="BI13" i="22" s="1"/>
  <c r="BI4" i="9" s="1"/>
  <c r="BI13" i="7"/>
  <c r="F22" i="1"/>
  <c r="BI5" i="7"/>
  <c r="F3" i="10"/>
  <c r="BF10" i="8"/>
  <c r="BG15" i="22"/>
  <c r="BL10" i="19"/>
  <c r="F20" i="4"/>
  <c r="BH9" i="22"/>
  <c r="BH13" i="22" s="1"/>
  <c r="BH4" i="9" s="1"/>
  <c r="BH6" i="9" s="1"/>
  <c r="BH11" i="22"/>
  <c r="S11" i="19"/>
  <c r="BG14" i="9"/>
  <c r="BG17" i="7"/>
  <c r="BG19" i="7" s="1"/>
  <c r="BH13" i="7"/>
  <c r="S11" i="1" l="1"/>
  <c r="S12" i="19"/>
  <c r="S13" i="19" s="1"/>
  <c r="F4" i="17"/>
  <c r="F3" i="5"/>
  <c r="F12" i="18"/>
  <c r="B8" i="25"/>
  <c r="F5" i="10"/>
  <c r="BI14" i="9"/>
  <c r="F13" i="10"/>
  <c r="BI17" i="7"/>
  <c r="BI19" i="7" s="1"/>
  <c r="BH14" i="9"/>
  <c r="BH17" i="7"/>
  <c r="BH19" i="7" s="1"/>
  <c r="BM10" i="19"/>
  <c r="BI6" i="9"/>
  <c r="F4" i="4"/>
  <c r="F6" i="4" s="1"/>
  <c r="BH15" i="22"/>
  <c r="BG10" i="8"/>
  <c r="F6" i="17" l="1"/>
  <c r="F10" i="5"/>
  <c r="F12" i="5" s="1"/>
  <c r="F14" i="17"/>
  <c r="F17" i="10"/>
  <c r="BH10" i="8"/>
  <c r="BI15" i="22"/>
  <c r="BI10" i="8" s="1"/>
  <c r="F10" i="3" s="1"/>
  <c r="F5" i="18" s="1" a="1"/>
  <c r="F5" i="18" s="1"/>
  <c r="F14" i="4"/>
  <c r="BN10" i="19"/>
  <c r="T9" i="19"/>
  <c r="S17" i="8"/>
  <c r="S18" i="8" s="1"/>
  <c r="S21" i="7"/>
  <c r="S23" i="7" s="1"/>
  <c r="S27" i="7" s="1"/>
  <c r="S14" i="1"/>
  <c r="BO10" i="19" l="1"/>
  <c r="F13" i="18"/>
  <c r="F3" i="18"/>
  <c r="T11" i="19"/>
  <c r="F19" i="10"/>
  <c r="T11" i="1" l="1"/>
  <c r="T12" i="19"/>
  <c r="T13" i="19" s="1"/>
  <c r="BP10" i="19"/>
  <c r="BQ10" i="19" l="1"/>
  <c r="U9" i="19"/>
  <c r="T17" i="8"/>
  <c r="T18" i="8" s="1"/>
  <c r="T21" i="7"/>
  <c r="T23" i="7" s="1"/>
  <c r="T27" i="7" s="1"/>
  <c r="T14" i="1"/>
  <c r="U11" i="19" l="1"/>
  <c r="BR10" i="19"/>
  <c r="BS10" i="19" l="1"/>
  <c r="U11" i="1"/>
  <c r="U12" i="19"/>
  <c r="U13" i="19" s="1"/>
  <c r="U21" i="7" l="1"/>
  <c r="U23" i="7" s="1"/>
  <c r="U27" i="7" s="1"/>
  <c r="U14" i="1"/>
  <c r="BT10" i="19"/>
  <c r="V9" i="19"/>
  <c r="U17" i="8"/>
  <c r="U18" i="8" s="1"/>
  <c r="V11" i="19" l="1"/>
  <c r="BU10" i="19"/>
  <c r="BV10" i="19" l="1"/>
  <c r="G18" i="19"/>
  <c r="V11" i="1"/>
  <c r="V12" i="19"/>
  <c r="V13" i="19" s="1"/>
  <c r="W9" i="19" l="1"/>
  <c r="V17" i="8"/>
  <c r="V18" i="8" s="1"/>
  <c r="BW10" i="19"/>
  <c r="V21" i="7"/>
  <c r="V23" i="7" s="1"/>
  <c r="V27" i="7" s="1"/>
  <c r="V14" i="1"/>
  <c r="BX10" i="19" l="1"/>
  <c r="W11" i="19"/>
  <c r="W11" i="1" l="1"/>
  <c r="W12" i="19"/>
  <c r="W13" i="19" s="1"/>
  <c r="BY10" i="19"/>
  <c r="BZ10" i="19" l="1"/>
  <c r="X9" i="19"/>
  <c r="W17" i="8"/>
  <c r="W18" i="8" s="1"/>
  <c r="W21" i="7"/>
  <c r="W23" i="7" s="1"/>
  <c r="W27" i="7" s="1"/>
  <c r="W14" i="1"/>
  <c r="X11" i="19" l="1"/>
  <c r="CA10" i="19"/>
  <c r="CB10" i="19" l="1"/>
  <c r="X11" i="1"/>
  <c r="X12" i="19"/>
  <c r="X13" i="19" s="1"/>
  <c r="Y9" i="19" l="1"/>
  <c r="X17" i="8"/>
  <c r="X18" i="8" s="1"/>
  <c r="X21" i="7"/>
  <c r="X23" i="7" s="1"/>
  <c r="X27" i="7" s="1"/>
  <c r="X14" i="1"/>
  <c r="CC10" i="19"/>
  <c r="CD10" i="19" l="1"/>
  <c r="Y11" i="19"/>
  <c r="CE10" i="19" l="1"/>
  <c r="Y11" i="1"/>
  <c r="Y12" i="19"/>
  <c r="C19" i="19"/>
  <c r="Y21" i="7" l="1"/>
  <c r="Y14" i="1"/>
  <c r="C25" i="1"/>
  <c r="C28" i="1" s="1"/>
  <c r="C20" i="19"/>
  <c r="C21" i="19" s="1"/>
  <c r="D17" i="19" s="1"/>
  <c r="Y13" i="19"/>
  <c r="CF10" i="19"/>
  <c r="CG10" i="19" l="1"/>
  <c r="Y17" i="8"/>
  <c r="Z9" i="19"/>
  <c r="Y23" i="7"/>
  <c r="Y27" i="7" s="1"/>
  <c r="C21" i="10"/>
  <c r="W29" i="7" l="1"/>
  <c r="V29" i="7"/>
  <c r="Q29" i="7"/>
  <c r="S29" i="7"/>
  <c r="P29" i="7"/>
  <c r="R29" i="7"/>
  <c r="T29" i="7"/>
  <c r="O29" i="7"/>
  <c r="U29" i="7"/>
  <c r="X29" i="7"/>
  <c r="N29" i="7"/>
  <c r="Y29" i="7"/>
  <c r="Y17" i="9" s="1"/>
  <c r="Y22" i="9" s="1"/>
  <c r="Y24" i="9" s="1"/>
  <c r="C17" i="3"/>
  <c r="C18" i="3" s="1"/>
  <c r="Y18" i="8"/>
  <c r="Z11" i="19"/>
  <c r="C17" i="17"/>
  <c r="C23" i="10"/>
  <c r="C27" i="10" s="1"/>
  <c r="H18" i="19"/>
  <c r="U17" i="9" l="1"/>
  <c r="U22" i="9" s="1"/>
  <c r="U24" i="9" s="1"/>
  <c r="U31" i="7"/>
  <c r="O17" i="9"/>
  <c r="O22" i="9" s="1"/>
  <c r="O24" i="9" s="1"/>
  <c r="O31" i="7"/>
  <c r="C29" i="10"/>
  <c r="N17" i="9"/>
  <c r="N31" i="7"/>
  <c r="T17" i="9"/>
  <c r="T22" i="9" s="1"/>
  <c r="T24" i="9" s="1"/>
  <c r="T31" i="7"/>
  <c r="R17" i="9"/>
  <c r="R22" i="9" s="1"/>
  <c r="R24" i="9" s="1"/>
  <c r="R31" i="7"/>
  <c r="P17" i="9"/>
  <c r="P22" i="9" s="1"/>
  <c r="P24" i="9" s="1"/>
  <c r="P31" i="7"/>
  <c r="S17" i="9"/>
  <c r="S22" i="9" s="1"/>
  <c r="S24" i="9" s="1"/>
  <c r="S31" i="7"/>
  <c r="Q17" i="9"/>
  <c r="Q22" i="9" s="1"/>
  <c r="Q24" i="9" s="1"/>
  <c r="Q31" i="7"/>
  <c r="V17" i="9"/>
  <c r="V22" i="9" s="1"/>
  <c r="V24" i="9" s="1"/>
  <c r="V31" i="7"/>
  <c r="W17" i="9"/>
  <c r="W22" i="9" s="1"/>
  <c r="W24" i="9" s="1"/>
  <c r="W31" i="7"/>
  <c r="X17" i="9"/>
  <c r="X22" i="9" s="1"/>
  <c r="X24" i="9" s="1"/>
  <c r="X31" i="7"/>
  <c r="Z11" i="1"/>
  <c r="Z12" i="19"/>
  <c r="Y31" i="7"/>
  <c r="R22" i="8" l="1"/>
  <c r="R33" i="7"/>
  <c r="N22" i="8"/>
  <c r="N33" i="7"/>
  <c r="N9" i="8"/>
  <c r="Y22" i="8"/>
  <c r="Y33" i="7"/>
  <c r="Q22" i="8"/>
  <c r="Q33" i="7"/>
  <c r="C17" i="4"/>
  <c r="C22" i="4" s="1"/>
  <c r="C24" i="4" s="1"/>
  <c r="C27" i="4" s="1"/>
  <c r="N22" i="9"/>
  <c r="N24" i="9" s="1"/>
  <c r="N27" i="9" s="1"/>
  <c r="C19" i="17"/>
  <c r="C21" i="17" s="1"/>
  <c r="C23" i="17" s="1"/>
  <c r="C25" i="17" s="1"/>
  <c r="C4" i="5"/>
  <c r="C6" i="5" s="1"/>
  <c r="C7" i="5" s="1"/>
  <c r="C14" i="5" s="1"/>
  <c r="Z13" i="19"/>
  <c r="C31" i="10"/>
  <c r="O33" i="7"/>
  <c r="O22" i="8"/>
  <c r="W33" i="7"/>
  <c r="W22" i="8"/>
  <c r="V33" i="7"/>
  <c r="V22" i="8"/>
  <c r="S33" i="7"/>
  <c r="S22" i="8"/>
  <c r="T22" i="8"/>
  <c r="T33" i="7"/>
  <c r="Z21" i="7"/>
  <c r="Z14" i="1"/>
  <c r="U22" i="8"/>
  <c r="U33" i="7"/>
  <c r="X22" i="8"/>
  <c r="X33" i="7"/>
  <c r="P22" i="8"/>
  <c r="P33" i="7"/>
  <c r="J12" i="25" l="1"/>
  <c r="C10" i="18"/>
  <c r="C22" i="3"/>
  <c r="C8" i="18" s="1"/>
  <c r="C14" i="18"/>
  <c r="E17" i="16"/>
  <c r="E20" i="16" s="1"/>
  <c r="C33" i="10"/>
  <c r="C4" i="18" s="1"/>
  <c r="D26" i="4"/>
  <c r="O9" i="8"/>
  <c r="N13" i="8"/>
  <c r="Z23" i="7"/>
  <c r="Z27" i="7" s="1"/>
  <c r="Z17" i="8"/>
  <c r="Z18" i="8" s="1"/>
  <c r="AA9" i="19"/>
  <c r="N23" i="8"/>
  <c r="N25" i="8" s="1"/>
  <c r="O21" i="8"/>
  <c r="N29" i="9"/>
  <c r="O26" i="9"/>
  <c r="O27" i="9" s="1"/>
  <c r="N27" i="8" l="1"/>
  <c r="O29" i="9"/>
  <c r="P26" i="9"/>
  <c r="P27" i="9" s="1"/>
  <c r="AA11" i="19"/>
  <c r="C24" i="3"/>
  <c r="D21" i="3"/>
  <c r="P9" i="8"/>
  <c r="O13" i="8"/>
  <c r="C15" i="18"/>
  <c r="P21" i="8"/>
  <c r="O23" i="8"/>
  <c r="O25" i="8" s="1"/>
  <c r="O27" i="8" l="1"/>
  <c r="Q21" i="8"/>
  <c r="P23" i="8"/>
  <c r="P25" i="8" s="1"/>
  <c r="Q9" i="8"/>
  <c r="P13" i="8"/>
  <c r="C25" i="3"/>
  <c r="B19" i="25"/>
  <c r="C6" i="18"/>
  <c r="AA11" i="1"/>
  <c r="AA12" i="19"/>
  <c r="P29" i="9"/>
  <c r="Q26" i="9"/>
  <c r="Q27" i="9" s="1"/>
  <c r="P27" i="8" l="1"/>
  <c r="R26" i="9"/>
  <c r="R27" i="9" s="1"/>
  <c r="Q29" i="9"/>
  <c r="AA13" i="19"/>
  <c r="AA21" i="7"/>
  <c r="AA14" i="1"/>
  <c r="R9" i="8"/>
  <c r="Q13" i="8"/>
  <c r="R21" i="8"/>
  <c r="Q23" i="8"/>
  <c r="Q25" i="8" s="1"/>
  <c r="S21" i="8" l="1"/>
  <c r="R23" i="8"/>
  <c r="R25" i="8" s="1"/>
  <c r="S9" i="8"/>
  <c r="R13" i="8"/>
  <c r="Q27" i="8"/>
  <c r="AA23" i="7"/>
  <c r="AA27" i="7" s="1"/>
  <c r="AB9" i="19"/>
  <c r="AA17" i="8"/>
  <c r="AA18" i="8" s="1"/>
  <c r="S26" i="9"/>
  <c r="S27" i="9" s="1"/>
  <c r="R29" i="9"/>
  <c r="R27" i="8" l="1"/>
  <c r="T26" i="9"/>
  <c r="T27" i="9" s="1"/>
  <c r="S29" i="9"/>
  <c r="AB11" i="19"/>
  <c r="T9" i="8"/>
  <c r="S13" i="8"/>
  <c r="T21" i="8"/>
  <c r="S23" i="8"/>
  <c r="S25" i="8" s="1"/>
  <c r="S27" i="8" l="1"/>
  <c r="U21" i="8"/>
  <c r="T23" i="8"/>
  <c r="T25" i="8" s="1"/>
  <c r="U9" i="8"/>
  <c r="T13" i="8"/>
  <c r="AB11" i="1"/>
  <c r="AB12" i="19"/>
  <c r="T29" i="9"/>
  <c r="U26" i="9"/>
  <c r="U27" i="9" s="1"/>
  <c r="T27" i="8" l="1"/>
  <c r="U29" i="9"/>
  <c r="V26" i="9"/>
  <c r="V27" i="9" s="1"/>
  <c r="AB13" i="19"/>
  <c r="AB21" i="7"/>
  <c r="AB14" i="1"/>
  <c r="V9" i="8"/>
  <c r="U13" i="8"/>
  <c r="V21" i="8"/>
  <c r="U23" i="8"/>
  <c r="U25" i="8" s="1"/>
  <c r="U27" i="8" l="1"/>
  <c r="W21" i="8"/>
  <c r="V23" i="8"/>
  <c r="V25" i="8" s="1"/>
  <c r="W9" i="8"/>
  <c r="V13" i="8"/>
  <c r="AB23" i="7"/>
  <c r="AB27" i="7" s="1"/>
  <c r="AC9" i="19"/>
  <c r="AB17" i="8"/>
  <c r="AB18" i="8" s="1"/>
  <c r="W26" i="9"/>
  <c r="W27" i="9" s="1"/>
  <c r="V29" i="9"/>
  <c r="V27" i="8" l="1"/>
  <c r="AC11" i="19"/>
  <c r="W29" i="9"/>
  <c r="X26" i="9"/>
  <c r="X27" i="9" s="1"/>
  <c r="X9" i="8"/>
  <c r="W13" i="8"/>
  <c r="X21" i="8"/>
  <c r="W23" i="8"/>
  <c r="W25" i="8" s="1"/>
  <c r="Y21" i="8" l="1"/>
  <c r="X23" i="8"/>
  <c r="X25" i="8" s="1"/>
  <c r="W27" i="8"/>
  <c r="Y9" i="8"/>
  <c r="X13" i="8"/>
  <c r="Y26" i="9"/>
  <c r="Y27" i="9" s="1"/>
  <c r="X29" i="9"/>
  <c r="AC11" i="1"/>
  <c r="AC12" i="19"/>
  <c r="X27" i="8" l="1"/>
  <c r="AC13" i="19"/>
  <c r="AC21" i="7"/>
  <c r="AC14" i="1"/>
  <c r="Z26" i="9"/>
  <c r="Y29" i="9"/>
  <c r="C9" i="3"/>
  <c r="Y13" i="8"/>
  <c r="Z21" i="8"/>
  <c r="Y23" i="8"/>
  <c r="Y25" i="8" s="1"/>
  <c r="Y27" i="8" l="1"/>
  <c r="C13" i="3"/>
  <c r="C29" i="4"/>
  <c r="AC23" i="7"/>
  <c r="AC27" i="7" s="1"/>
  <c r="AD9" i="19"/>
  <c r="AC17" i="8"/>
  <c r="AC18" i="8" s="1"/>
  <c r="AD11" i="19" l="1"/>
  <c r="C7" i="18"/>
  <c r="C27" i="3"/>
  <c r="C11" i="18"/>
  <c r="C9" i="18"/>
  <c r="AD11" i="1" l="1"/>
  <c r="AD12" i="19"/>
  <c r="AD13" i="19" l="1"/>
  <c r="AD21" i="7"/>
  <c r="AD14" i="1"/>
  <c r="AE9" i="19" l="1"/>
  <c r="AD17" i="8"/>
  <c r="AD18" i="8" s="1"/>
  <c r="AD23" i="7"/>
  <c r="AD27" i="7" s="1"/>
  <c r="AE11" i="19" l="1"/>
  <c r="AE11" i="1" l="1"/>
  <c r="AE12" i="19"/>
  <c r="AE13" i="19" s="1"/>
  <c r="AF9" i="19" l="1"/>
  <c r="AE17" i="8"/>
  <c r="AE18" i="8" s="1"/>
  <c r="AE21" i="7"/>
  <c r="AE23" i="7" s="1"/>
  <c r="AE27" i="7" s="1"/>
  <c r="AE14" i="1"/>
  <c r="AF11" i="19" l="1"/>
  <c r="AF11" i="1" l="1"/>
  <c r="AF12" i="19"/>
  <c r="AF13" i="19" s="1"/>
  <c r="AG9" i="19" l="1"/>
  <c r="AF17" i="8"/>
  <c r="AF18" i="8" s="1"/>
  <c r="AF21" i="7"/>
  <c r="AF23" i="7" s="1"/>
  <c r="AF27" i="7" s="1"/>
  <c r="AF14" i="1"/>
  <c r="AG11" i="19" l="1"/>
  <c r="AG11" i="1" l="1"/>
  <c r="AG12" i="19"/>
  <c r="AG13" i="19" s="1"/>
  <c r="AH9" i="19" l="1"/>
  <c r="AG17" i="8"/>
  <c r="AG18" i="8" s="1"/>
  <c r="AG21" i="7"/>
  <c r="AG23" i="7" s="1"/>
  <c r="AG27" i="7" s="1"/>
  <c r="AG14" i="1"/>
  <c r="AH11" i="19" l="1"/>
  <c r="AH11" i="1" l="1"/>
  <c r="AH12" i="19"/>
  <c r="AH13" i="19" s="1"/>
  <c r="AI9" i="19" l="1"/>
  <c r="AH17" i="8"/>
  <c r="AH18" i="8" s="1"/>
  <c r="AH21" i="7"/>
  <c r="AH23" i="7" s="1"/>
  <c r="AH27" i="7" s="1"/>
  <c r="AH14" i="1"/>
  <c r="AI11" i="19" l="1"/>
  <c r="AI11" i="1" l="1"/>
  <c r="AI12" i="19"/>
  <c r="AI13" i="19" s="1"/>
  <c r="AJ9" i="19" l="1"/>
  <c r="AI17" i="8"/>
  <c r="AI18" i="8" s="1"/>
  <c r="AI21" i="7"/>
  <c r="AI23" i="7" s="1"/>
  <c r="AI27" i="7" s="1"/>
  <c r="AI14" i="1"/>
  <c r="AJ11" i="19" l="1"/>
  <c r="AJ11" i="1" l="1"/>
  <c r="AJ12" i="19"/>
  <c r="AJ13" i="19" s="1"/>
  <c r="AJ17" i="8" l="1"/>
  <c r="AJ18" i="8" s="1"/>
  <c r="AK9" i="19"/>
  <c r="AJ21" i="7"/>
  <c r="AJ23" i="7" s="1"/>
  <c r="AJ27" i="7" s="1"/>
  <c r="AJ14" i="1"/>
  <c r="AK11" i="19" l="1"/>
  <c r="AK11" i="1" l="1"/>
  <c r="AK12" i="19"/>
  <c r="D19" i="19"/>
  <c r="D20" i="19" l="1"/>
  <c r="D21" i="19" s="1"/>
  <c r="E17" i="19" s="1"/>
  <c r="AK13" i="19"/>
  <c r="AK21" i="7"/>
  <c r="AK14" i="1"/>
  <c r="D25" i="1"/>
  <c r="D28" i="1" s="1"/>
  <c r="AK23" i="7" l="1"/>
  <c r="AK27" i="7" s="1"/>
  <c r="D21" i="10"/>
  <c r="AL9" i="19"/>
  <c r="AK17" i="8"/>
  <c r="D17" i="3" l="1"/>
  <c r="D18" i="3" s="1"/>
  <c r="AK18" i="8"/>
  <c r="AL11" i="19"/>
  <c r="D17" i="17"/>
  <c r="D23" i="10"/>
  <c r="D27" i="10" s="1"/>
  <c r="AF29" i="7"/>
  <c r="AD29" i="7"/>
  <c r="AB29" i="7"/>
  <c r="AG29" i="7"/>
  <c r="Z29" i="7"/>
  <c r="AH29" i="7"/>
  <c r="AE29" i="7"/>
  <c r="AA29" i="7"/>
  <c r="AJ29" i="7"/>
  <c r="AC29" i="7"/>
  <c r="AI29" i="7"/>
  <c r="AK29" i="7"/>
  <c r="AK17" i="9" s="1"/>
  <c r="AK22" i="9" s="1"/>
  <c r="AK24" i="9" s="1"/>
  <c r="AG17" i="9" l="1"/>
  <c r="AG22" i="9" s="1"/>
  <c r="AG24" i="9" s="1"/>
  <c r="AG31" i="7"/>
  <c r="AD17" i="9"/>
  <c r="AD22" i="9" s="1"/>
  <c r="AD24" i="9" s="1"/>
  <c r="AD31" i="7"/>
  <c r="AJ17" i="9"/>
  <c r="AJ22" i="9" s="1"/>
  <c r="AJ24" i="9" s="1"/>
  <c r="AJ31" i="7"/>
  <c r="AB17" i="9"/>
  <c r="AB22" i="9" s="1"/>
  <c r="AB24" i="9" s="1"/>
  <c r="AB31" i="7"/>
  <c r="AF17" i="9"/>
  <c r="AF22" i="9" s="1"/>
  <c r="AF24" i="9" s="1"/>
  <c r="AF31" i="7"/>
  <c r="AK31" i="7"/>
  <c r="AC17" i="9"/>
  <c r="AC22" i="9" s="1"/>
  <c r="AC24" i="9" s="1"/>
  <c r="AC31" i="7"/>
  <c r="AH17" i="9"/>
  <c r="AH22" i="9" s="1"/>
  <c r="AH24" i="9" s="1"/>
  <c r="AH31" i="7"/>
  <c r="AI17" i="9"/>
  <c r="AI22" i="9" s="1"/>
  <c r="AI24" i="9" s="1"/>
  <c r="AI31" i="7"/>
  <c r="AA17" i="9"/>
  <c r="AA22" i="9" s="1"/>
  <c r="AA24" i="9" s="1"/>
  <c r="AA31" i="7"/>
  <c r="AE17" i="9"/>
  <c r="AE22" i="9" s="1"/>
  <c r="AE24" i="9" s="1"/>
  <c r="AE31" i="7"/>
  <c r="AL11" i="1"/>
  <c r="AL12" i="19"/>
  <c r="D29" i="10"/>
  <c r="Z17" i="9"/>
  <c r="Z31" i="7"/>
  <c r="AJ22" i="8" l="1"/>
  <c r="AJ33" i="7"/>
  <c r="AK33" i="7"/>
  <c r="AK22" i="8"/>
  <c r="D17" i="4"/>
  <c r="D22" i="4" s="1"/>
  <c r="D24" i="4" s="1"/>
  <c r="D27" i="4" s="1"/>
  <c r="Z22" i="9"/>
  <c r="Z24" i="9" s="1"/>
  <c r="Z27" i="9" s="1"/>
  <c r="AF22" i="8"/>
  <c r="AF33" i="7"/>
  <c r="AI22" i="8"/>
  <c r="AI33" i="7"/>
  <c r="D19" i="17"/>
  <c r="D21" i="17" s="1"/>
  <c r="D23" i="17" s="1"/>
  <c r="D25" i="17" s="1"/>
  <c r="D4" i="5"/>
  <c r="D6" i="5" s="1"/>
  <c r="D7" i="5" s="1"/>
  <c r="D14" i="5" s="1"/>
  <c r="AB22" i="8"/>
  <c r="AB33" i="7"/>
  <c r="AC22" i="8"/>
  <c r="AC33" i="7"/>
  <c r="AL21" i="7"/>
  <c r="AL14" i="1"/>
  <c r="AE33" i="7"/>
  <c r="AE22" i="8"/>
  <c r="AA22" i="8"/>
  <c r="AA33" i="7"/>
  <c r="Z33" i="7"/>
  <c r="Z22" i="8"/>
  <c r="Z9" i="8"/>
  <c r="AD33" i="7"/>
  <c r="AD22" i="8"/>
  <c r="AH33" i="7"/>
  <c r="AH22" i="8"/>
  <c r="D31" i="10"/>
  <c r="AL13" i="19"/>
  <c r="AG22" i="8"/>
  <c r="AG33" i="7"/>
  <c r="AA9" i="8" l="1"/>
  <c r="Z13" i="8"/>
  <c r="AA26" i="9"/>
  <c r="AA27" i="9" s="1"/>
  <c r="Z29" i="9"/>
  <c r="E26" i="4"/>
  <c r="AL23" i="7"/>
  <c r="AL27" i="7" s="1"/>
  <c r="AA21" i="8"/>
  <c r="Z23" i="8"/>
  <c r="Z25" i="8" s="1"/>
  <c r="AM9" i="19"/>
  <c r="AL17" i="8"/>
  <c r="AL18" i="8" s="1"/>
  <c r="D14" i="18"/>
  <c r="D22" i="3"/>
  <c r="D8" i="18" s="1"/>
  <c r="F17" i="16"/>
  <c r="F20" i="16" s="1"/>
  <c r="J13" i="25"/>
  <c r="D10" i="18"/>
  <c r="D33" i="10"/>
  <c r="D4" i="18" s="1"/>
  <c r="AB21" i="8" l="1"/>
  <c r="AA23" i="8"/>
  <c r="AA25" i="8" s="1"/>
  <c r="E21" i="3"/>
  <c r="D24" i="3"/>
  <c r="AM11" i="19"/>
  <c r="D15" i="18"/>
  <c r="AA29" i="9"/>
  <c r="AB26" i="9"/>
  <c r="AB27" i="9" s="1"/>
  <c r="Z27" i="8"/>
  <c r="AB9" i="8"/>
  <c r="AA13" i="8"/>
  <c r="AA27" i="8" l="1"/>
  <c r="AB29" i="9"/>
  <c r="AC26" i="9"/>
  <c r="AC27" i="9" s="1"/>
  <c r="AM11" i="1"/>
  <c r="AM12" i="19"/>
  <c r="D25" i="3"/>
  <c r="B20" i="25"/>
  <c r="D6" i="18"/>
  <c r="AC9" i="8"/>
  <c r="AB13" i="8"/>
  <c r="AC21" i="8"/>
  <c r="AB23" i="8"/>
  <c r="AB25" i="8" s="1"/>
  <c r="AB27" i="8" l="1"/>
  <c r="AD9" i="8"/>
  <c r="AC13" i="8"/>
  <c r="AM13" i="19"/>
  <c r="AM21" i="7"/>
  <c r="AM14" i="1"/>
  <c r="AC29" i="9"/>
  <c r="AD26" i="9"/>
  <c r="AD27" i="9" s="1"/>
  <c r="AD21" i="8"/>
  <c r="AC23" i="8"/>
  <c r="AC25" i="8" s="1"/>
  <c r="AE9" i="8" l="1"/>
  <c r="AD13" i="8"/>
  <c r="AE21" i="8"/>
  <c r="AD23" i="8"/>
  <c r="AD25" i="8" s="1"/>
  <c r="AD29" i="9"/>
  <c r="AE26" i="9"/>
  <c r="AE27" i="9" s="1"/>
  <c r="AM23" i="7"/>
  <c r="AM27" i="7" s="1"/>
  <c r="AM17" i="8"/>
  <c r="AM18" i="8" s="1"/>
  <c r="AN9" i="19"/>
  <c r="AC27" i="8"/>
  <c r="AE29" i="9" l="1"/>
  <c r="AF26" i="9"/>
  <c r="AF27" i="9" s="1"/>
  <c r="AN11" i="19"/>
  <c r="AF21" i="8"/>
  <c r="AE23" i="8"/>
  <c r="AE25" i="8" s="1"/>
  <c r="AD27" i="8"/>
  <c r="AF9" i="8"/>
  <c r="AE13" i="8"/>
  <c r="AE27" i="8" l="1"/>
  <c r="AG9" i="8"/>
  <c r="AF13" i="8"/>
  <c r="AG21" i="8"/>
  <c r="AF23" i="8"/>
  <c r="AF25" i="8" s="1"/>
  <c r="AF29" i="9"/>
  <c r="AG26" i="9"/>
  <c r="AG27" i="9" s="1"/>
  <c r="AN11" i="1"/>
  <c r="AN12" i="19"/>
  <c r="AN13" i="19" l="1"/>
  <c r="AN21" i="7"/>
  <c r="AN14" i="1"/>
  <c r="AF27" i="8"/>
  <c r="AH26" i="9"/>
  <c r="AH27" i="9" s="1"/>
  <c r="AG29" i="9"/>
  <c r="AH21" i="8"/>
  <c r="AG23" i="8"/>
  <c r="AG25" i="8" s="1"/>
  <c r="AH9" i="8"/>
  <c r="AG13" i="8"/>
  <c r="AG27" i="8" l="1"/>
  <c r="AI9" i="8"/>
  <c r="AH13" i="8"/>
  <c r="AI21" i="8"/>
  <c r="AH23" i="8"/>
  <c r="AH25" i="8" s="1"/>
  <c r="AH29" i="9"/>
  <c r="AI26" i="9"/>
  <c r="AI27" i="9" s="1"/>
  <c r="AN23" i="7"/>
  <c r="AN27" i="7" s="1"/>
  <c r="AO9" i="19"/>
  <c r="AN17" i="8"/>
  <c r="AN18" i="8" s="1"/>
  <c r="AO11" i="19" l="1"/>
  <c r="AJ26" i="9"/>
  <c r="AJ27" i="9" s="1"/>
  <c r="AI29" i="9"/>
  <c r="AJ21" i="8"/>
  <c r="AI23" i="8"/>
  <c r="AI25" i="8" s="1"/>
  <c r="AH27" i="8"/>
  <c r="AJ9" i="8"/>
  <c r="AI13" i="8"/>
  <c r="AI27" i="8" l="1"/>
  <c r="AK9" i="8"/>
  <c r="AJ13" i="8"/>
  <c r="AK21" i="8"/>
  <c r="AJ23" i="8"/>
  <c r="AJ25" i="8" s="1"/>
  <c r="AJ29" i="9"/>
  <c r="AK26" i="9"/>
  <c r="AK27" i="9" s="1"/>
  <c r="AO11" i="1"/>
  <c r="AO12" i="19"/>
  <c r="AL21" i="8" l="1"/>
  <c r="AK23" i="8"/>
  <c r="AK25" i="8" s="1"/>
  <c r="AO13" i="19"/>
  <c r="AO21" i="7"/>
  <c r="AO14" i="1"/>
  <c r="AK29" i="9"/>
  <c r="AL26" i="9"/>
  <c r="AJ27" i="8"/>
  <c r="D9" i="3"/>
  <c r="AK13" i="8"/>
  <c r="AO23" i="7" l="1"/>
  <c r="AO27" i="7" s="1"/>
  <c r="D13" i="3"/>
  <c r="D29" i="4"/>
  <c r="AP9" i="19"/>
  <c r="AO17" i="8"/>
  <c r="AO18" i="8" s="1"/>
  <c r="AK27" i="8"/>
  <c r="AP11" i="19" l="1"/>
  <c r="D27" i="3"/>
  <c r="D7" i="18"/>
  <c r="D11" i="18"/>
  <c r="D9" i="18"/>
  <c r="AP11" i="1" l="1"/>
  <c r="AP12" i="19"/>
  <c r="AP13" i="19" l="1"/>
  <c r="AP21" i="7"/>
  <c r="AP14" i="1"/>
  <c r="AP23" i="7" l="1"/>
  <c r="AP27" i="7" s="1"/>
  <c r="AP17" i="8"/>
  <c r="AP18" i="8" s="1"/>
  <c r="AQ9" i="19"/>
  <c r="AQ11" i="19" l="1"/>
  <c r="AQ11" i="1" l="1"/>
  <c r="AQ12" i="19"/>
  <c r="AQ13" i="19" s="1"/>
  <c r="AR9" i="19" l="1"/>
  <c r="AQ17" i="8"/>
  <c r="AQ18" i="8" s="1"/>
  <c r="AQ21" i="7"/>
  <c r="AQ23" i="7" s="1"/>
  <c r="AQ27" i="7" s="1"/>
  <c r="AQ14" i="1"/>
  <c r="AR11" i="19" l="1"/>
  <c r="AR11" i="1" l="1"/>
  <c r="AR12" i="19"/>
  <c r="AR13" i="19" s="1"/>
  <c r="AS9" i="19" l="1"/>
  <c r="AR17" i="8"/>
  <c r="AR18" i="8" s="1"/>
  <c r="AR21" i="7"/>
  <c r="AR23" i="7" s="1"/>
  <c r="AR27" i="7" s="1"/>
  <c r="AR14" i="1"/>
  <c r="AS11" i="19" l="1"/>
  <c r="AS11" i="1" l="1"/>
  <c r="AS12" i="19"/>
  <c r="AS13" i="19" s="1"/>
  <c r="AT9" i="19" l="1"/>
  <c r="AS17" i="8"/>
  <c r="AS18" i="8" s="1"/>
  <c r="AS21" i="7"/>
  <c r="AS23" i="7" s="1"/>
  <c r="AS27" i="7" s="1"/>
  <c r="AS14" i="1"/>
  <c r="AT11" i="19" l="1"/>
  <c r="AT11" i="1" l="1"/>
  <c r="AT12" i="19"/>
  <c r="AT13" i="19" s="1"/>
  <c r="AU9" i="19" l="1"/>
  <c r="AT17" i="8"/>
  <c r="AT18" i="8" s="1"/>
  <c r="AT21" i="7"/>
  <c r="AT23" i="7" s="1"/>
  <c r="AT27" i="7" s="1"/>
  <c r="AT14" i="1"/>
  <c r="AU11" i="19" l="1"/>
  <c r="AU11" i="1" l="1"/>
  <c r="AU12" i="19"/>
  <c r="AU13" i="19" s="1"/>
  <c r="AV9" i="19" l="1"/>
  <c r="AU17" i="8"/>
  <c r="AU18" i="8" s="1"/>
  <c r="AU21" i="7"/>
  <c r="AU23" i="7" s="1"/>
  <c r="AU27" i="7" s="1"/>
  <c r="AU14" i="1"/>
  <c r="AV11" i="19" l="1"/>
  <c r="AV11" i="1" l="1"/>
  <c r="AV12" i="19"/>
  <c r="AV13" i="19" s="1"/>
  <c r="AW9" i="19" l="1"/>
  <c r="AV17" i="8"/>
  <c r="AV18" i="8" s="1"/>
  <c r="AV21" i="7"/>
  <c r="AV23" i="7" s="1"/>
  <c r="AV27" i="7" s="1"/>
  <c r="AV14" i="1"/>
  <c r="AW11" i="19" l="1"/>
  <c r="AW11" i="1" l="1"/>
  <c r="AW12" i="19"/>
  <c r="E19" i="19"/>
  <c r="E20" i="19" l="1"/>
  <c r="E21" i="19" s="1"/>
  <c r="F17" i="19" s="1"/>
  <c r="AW13" i="19"/>
  <c r="AW21" i="7"/>
  <c r="AW14" i="1"/>
  <c r="E25" i="1"/>
  <c r="E28" i="1" s="1"/>
  <c r="AW23" i="7" l="1"/>
  <c r="AW27" i="7" s="1"/>
  <c r="E21" i="10"/>
  <c r="AX9" i="19"/>
  <c r="AW17" i="8"/>
  <c r="AW18" i="8" l="1"/>
  <c r="E17" i="3"/>
  <c r="E18" i="3" s="1"/>
  <c r="E17" i="17"/>
  <c r="E23" i="10"/>
  <c r="E27" i="10" s="1"/>
  <c r="AX11" i="19"/>
  <c r="AP29" i="7"/>
  <c r="AW29" i="7"/>
  <c r="AW17" i="9" s="1"/>
  <c r="AW22" i="9" s="1"/>
  <c r="AW24" i="9" s="1"/>
  <c r="AS29" i="7"/>
  <c r="AQ29" i="7"/>
  <c r="AM29" i="7"/>
  <c r="AU29" i="7"/>
  <c r="AT29" i="7"/>
  <c r="AV29" i="7"/>
  <c r="AO29" i="7"/>
  <c r="AN29" i="7"/>
  <c r="AR29" i="7"/>
  <c r="AL29" i="7"/>
  <c r="AW31" i="7" l="1"/>
  <c r="AV17" i="9"/>
  <c r="AV22" i="9" s="1"/>
  <c r="AV24" i="9" s="1"/>
  <c r="AV31" i="7"/>
  <c r="AS17" i="9"/>
  <c r="AS22" i="9" s="1"/>
  <c r="AS24" i="9" s="1"/>
  <c r="AS31" i="7"/>
  <c r="AR17" i="9"/>
  <c r="AR22" i="9" s="1"/>
  <c r="AR24" i="9" s="1"/>
  <c r="AR31" i="7"/>
  <c r="AO17" i="9"/>
  <c r="AO22" i="9" s="1"/>
  <c r="AO24" i="9" s="1"/>
  <c r="AO31" i="7"/>
  <c r="AQ17" i="9"/>
  <c r="AQ22" i="9" s="1"/>
  <c r="AQ24" i="9" s="1"/>
  <c r="AQ31" i="7"/>
  <c r="E29" i="10"/>
  <c r="E31" i="10" s="1"/>
  <c r="AL17" i="9"/>
  <c r="AL31" i="7"/>
  <c r="AN17" i="9"/>
  <c r="AN22" i="9" s="1"/>
  <c r="AN24" i="9" s="1"/>
  <c r="AN31" i="7"/>
  <c r="AX11" i="1"/>
  <c r="AX12" i="19"/>
  <c r="AU17" i="9"/>
  <c r="AU22" i="9" s="1"/>
  <c r="AU24" i="9" s="1"/>
  <c r="AU31" i="7"/>
  <c r="AP17" i="9"/>
  <c r="AP22" i="9" s="1"/>
  <c r="AP24" i="9" s="1"/>
  <c r="AP31" i="7"/>
  <c r="AT17" i="9"/>
  <c r="AT22" i="9" s="1"/>
  <c r="AT24" i="9" s="1"/>
  <c r="AT31" i="7"/>
  <c r="AM17" i="9"/>
  <c r="AM22" i="9" s="1"/>
  <c r="AM24" i="9" s="1"/>
  <c r="AM31" i="7"/>
  <c r="AU33" i="7" l="1"/>
  <c r="AU22" i="8"/>
  <c r="AO22" i="8"/>
  <c r="AO33" i="7"/>
  <c r="AR33" i="7"/>
  <c r="AR22" i="8"/>
  <c r="AS22" i="8"/>
  <c r="AS33" i="7"/>
  <c r="AV22" i="8"/>
  <c r="AV33" i="7"/>
  <c r="AQ33" i="7"/>
  <c r="AQ22" i="8"/>
  <c r="AX13" i="19"/>
  <c r="AM33" i="7"/>
  <c r="AM22" i="8"/>
  <c r="AL33" i="7"/>
  <c r="AL22" i="8"/>
  <c r="AL9" i="8"/>
  <c r="E22" i="3"/>
  <c r="E8" i="18" s="1"/>
  <c r="E10" i="18"/>
  <c r="E33" i="10"/>
  <c r="E4" i="18" s="1"/>
  <c r="G17" i="16"/>
  <c r="G20" i="16" s="1"/>
  <c r="J14" i="25"/>
  <c r="E14" i="18"/>
  <c r="E17" i="4"/>
  <c r="E22" i="4" s="1"/>
  <c r="E24" i="4" s="1"/>
  <c r="E27" i="4" s="1"/>
  <c r="AL22" i="9"/>
  <c r="AL24" i="9" s="1"/>
  <c r="AL27" i="9" s="1"/>
  <c r="AW22" i="8"/>
  <c r="AW33" i="7"/>
  <c r="AX21" i="7"/>
  <c r="AX14" i="1"/>
  <c r="AN22" i="8"/>
  <c r="AN33" i="7"/>
  <c r="AT22" i="8"/>
  <c r="AT33" i="7"/>
  <c r="AP33" i="7"/>
  <c r="AP22" i="8"/>
  <c r="E19" i="17"/>
  <c r="E21" i="17" s="1"/>
  <c r="E23" i="17" s="1"/>
  <c r="E25" i="17" s="1"/>
  <c r="E4" i="5"/>
  <c r="E6" i="5" s="1"/>
  <c r="E7" i="5" s="1"/>
  <c r="E14" i="5" s="1"/>
  <c r="AM9" i="8" l="1"/>
  <c r="AL13" i="8"/>
  <c r="AY9" i="19"/>
  <c r="AX17" i="8"/>
  <c r="AX18" i="8" s="1"/>
  <c r="AL23" i="8"/>
  <c r="AL25" i="8" s="1"/>
  <c r="AM21" i="8"/>
  <c r="E15" i="18"/>
  <c r="AX23" i="7"/>
  <c r="AX27" i="7" s="1"/>
  <c r="AM26" i="9"/>
  <c r="AM27" i="9" s="1"/>
  <c r="AL29" i="9"/>
  <c r="F21" i="3"/>
  <c r="E24" i="3"/>
  <c r="F26" i="4"/>
  <c r="AM29" i="9" l="1"/>
  <c r="AN26" i="9"/>
  <c r="AN27" i="9" s="1"/>
  <c r="AN21" i="8"/>
  <c r="AM23" i="8"/>
  <c r="AM25" i="8" s="1"/>
  <c r="AY11" i="19"/>
  <c r="E25" i="3"/>
  <c r="B21" i="25"/>
  <c r="E6" i="18"/>
  <c r="AL27" i="8"/>
  <c r="AN9" i="8"/>
  <c r="AM13" i="8"/>
  <c r="AM27" i="8" l="1"/>
  <c r="AY11" i="1"/>
  <c r="AY12" i="19"/>
  <c r="AO21" i="8"/>
  <c r="AN23" i="8"/>
  <c r="AN25" i="8" s="1"/>
  <c r="AO9" i="8"/>
  <c r="AN13" i="8"/>
  <c r="AN29" i="9"/>
  <c r="AO26" i="9"/>
  <c r="AO27" i="9" s="1"/>
  <c r="AN27" i="8" l="1"/>
  <c r="AP21" i="8"/>
  <c r="AO23" i="8"/>
  <c r="AO25" i="8" s="1"/>
  <c r="AP26" i="9"/>
  <c r="AP27" i="9" s="1"/>
  <c r="AO29" i="9"/>
  <c r="AP9" i="8"/>
  <c r="AO13" i="8"/>
  <c r="AY13" i="19"/>
  <c r="AY21" i="7"/>
  <c r="AY14" i="1"/>
  <c r="AO27" i="8" l="1"/>
  <c r="AY23" i="7"/>
  <c r="AY27" i="7" s="1"/>
  <c r="AZ9" i="19"/>
  <c r="AY17" i="8"/>
  <c r="AY18" i="8" s="1"/>
  <c r="AQ9" i="8"/>
  <c r="AP13" i="8"/>
  <c r="AP29" i="9"/>
  <c r="AQ26" i="9"/>
  <c r="AQ27" i="9" s="1"/>
  <c r="AQ21" i="8"/>
  <c r="AP23" i="8"/>
  <c r="AP25" i="8" s="1"/>
  <c r="AZ11" i="19" l="1"/>
  <c r="AP27" i="8"/>
  <c r="AR21" i="8"/>
  <c r="AQ23" i="8"/>
  <c r="AQ25" i="8" s="1"/>
  <c r="AR26" i="9"/>
  <c r="AR27" i="9" s="1"/>
  <c r="AQ29" i="9"/>
  <c r="AR9" i="8"/>
  <c r="AQ13" i="8"/>
  <c r="AQ27" i="8" l="1"/>
  <c r="AS21" i="8"/>
  <c r="AR23" i="8"/>
  <c r="AR25" i="8" s="1"/>
  <c r="AR29" i="9"/>
  <c r="AS26" i="9"/>
  <c r="AS27" i="9" s="1"/>
  <c r="AS9" i="8"/>
  <c r="AR13" i="8"/>
  <c r="AR27" i="8" s="1"/>
  <c r="AZ11" i="1"/>
  <c r="AZ12" i="19"/>
  <c r="AT9" i="8" l="1"/>
  <c r="AS13" i="8"/>
  <c r="AZ13" i="19"/>
  <c r="AZ21" i="7"/>
  <c r="AZ14" i="1"/>
  <c r="AS29" i="9"/>
  <c r="AT26" i="9"/>
  <c r="AT27" i="9" s="1"/>
  <c r="AT21" i="8"/>
  <c r="AS23" i="8"/>
  <c r="AS25" i="8" s="1"/>
  <c r="BA9" i="19" l="1"/>
  <c r="AZ17" i="8"/>
  <c r="AZ18" i="8" s="1"/>
  <c r="AU21" i="8"/>
  <c r="AT23" i="8"/>
  <c r="AT25" i="8" s="1"/>
  <c r="AU26" i="9"/>
  <c r="AU27" i="9" s="1"/>
  <c r="AT29" i="9"/>
  <c r="AZ23" i="7"/>
  <c r="AZ27" i="7" s="1"/>
  <c r="AS27" i="8"/>
  <c r="AU9" i="8"/>
  <c r="AT13" i="8"/>
  <c r="AT27" i="8" l="1"/>
  <c r="AU29" i="9"/>
  <c r="AV26" i="9"/>
  <c r="AV27" i="9" s="1"/>
  <c r="AV9" i="8"/>
  <c r="AU13" i="8"/>
  <c r="AV21" i="8"/>
  <c r="AU23" i="8"/>
  <c r="AU25" i="8" s="1"/>
  <c r="BA11" i="19"/>
  <c r="AU27" i="8" l="1"/>
  <c r="AW9" i="8"/>
  <c r="AV13" i="8"/>
  <c r="BA11" i="1"/>
  <c r="BA12" i="19"/>
  <c r="AW21" i="8"/>
  <c r="AV23" i="8"/>
  <c r="AV25" i="8" s="1"/>
  <c r="AV29" i="9"/>
  <c r="AW26" i="9"/>
  <c r="AW27" i="9" s="1"/>
  <c r="AX26" i="9" l="1"/>
  <c r="AW29" i="9"/>
  <c r="AX21" i="8"/>
  <c r="AW23" i="8"/>
  <c r="AW25" i="8" s="1"/>
  <c r="BA21" i="7"/>
  <c r="BA14" i="1"/>
  <c r="BA13" i="19"/>
  <c r="E9" i="3"/>
  <c r="AW13" i="8"/>
  <c r="AV27" i="8"/>
  <c r="AW27" i="8" l="1"/>
  <c r="E13" i="3"/>
  <c r="E29" i="4"/>
  <c r="BB9" i="19"/>
  <c r="BA17" i="8"/>
  <c r="BA18" i="8" s="1"/>
  <c r="BA23" i="7"/>
  <c r="BA27" i="7" s="1"/>
  <c r="BB11" i="19" l="1"/>
  <c r="E27" i="3"/>
  <c r="E7" i="18"/>
  <c r="E11" i="18"/>
  <c r="E9" i="18"/>
  <c r="BB11" i="1" l="1"/>
  <c r="BB12" i="19"/>
  <c r="BB13" i="19" l="1"/>
  <c r="BB21" i="7"/>
  <c r="BB14" i="1"/>
  <c r="BB23" i="7" l="1"/>
  <c r="BB27" i="7" s="1"/>
  <c r="BC9" i="19"/>
  <c r="BB17" i="8"/>
  <c r="BB18" i="8" s="1"/>
  <c r="BC11" i="19" l="1"/>
  <c r="BC11" i="1" l="1"/>
  <c r="BC12" i="19"/>
  <c r="BC13" i="19" s="1"/>
  <c r="BD9" i="19" l="1"/>
  <c r="BC17" i="8"/>
  <c r="BC18" i="8" s="1"/>
  <c r="BC21" i="7"/>
  <c r="BC23" i="7" s="1"/>
  <c r="BC27" i="7" s="1"/>
  <c r="BC14" i="1"/>
  <c r="BD11" i="19" l="1"/>
  <c r="BD11" i="1" l="1"/>
  <c r="BD12" i="19"/>
  <c r="BD13" i="19" s="1"/>
  <c r="BD17" i="8" l="1"/>
  <c r="BD18" i="8" s="1"/>
  <c r="BE9" i="19"/>
  <c r="BD21" i="7"/>
  <c r="BD23" i="7" s="1"/>
  <c r="BD27" i="7" s="1"/>
  <c r="BD14" i="1"/>
  <c r="BE11" i="19" l="1"/>
  <c r="BE11" i="1" l="1"/>
  <c r="BE12" i="19"/>
  <c r="BE13" i="19" s="1"/>
  <c r="BF9" i="19" l="1"/>
  <c r="BE17" i="8"/>
  <c r="BE18" i="8" s="1"/>
  <c r="BE21" i="7"/>
  <c r="BE23" i="7" s="1"/>
  <c r="BE27" i="7" s="1"/>
  <c r="BE14" i="1"/>
  <c r="BF11" i="19" l="1"/>
  <c r="BF11" i="1" l="1"/>
  <c r="BF12" i="19"/>
  <c r="BF13" i="19" s="1"/>
  <c r="BG9" i="19" l="1"/>
  <c r="BF17" i="8"/>
  <c r="BF18" i="8" s="1"/>
  <c r="BF21" i="7"/>
  <c r="BF23" i="7" s="1"/>
  <c r="BF27" i="7" s="1"/>
  <c r="BF14" i="1"/>
  <c r="BG11" i="19" l="1"/>
  <c r="BG11" i="1" l="1"/>
  <c r="BG12" i="19"/>
  <c r="BG13" i="19" s="1"/>
  <c r="BH9" i="19" l="1"/>
  <c r="BG17" i="8"/>
  <c r="BG18" i="8" s="1"/>
  <c r="BG21" i="7"/>
  <c r="BG23" i="7" s="1"/>
  <c r="BG27" i="7" s="1"/>
  <c r="BG14" i="1"/>
  <c r="BH11" i="19" l="1"/>
  <c r="BH11" i="1" l="1"/>
  <c r="BH12" i="19"/>
  <c r="BH13" i="19" s="1"/>
  <c r="BH17" i="8" l="1"/>
  <c r="BH18" i="8" s="1"/>
  <c r="BI9" i="19"/>
  <c r="BH21" i="7"/>
  <c r="BH23" i="7" s="1"/>
  <c r="BH27" i="7" s="1"/>
  <c r="BH14" i="1"/>
  <c r="BI11" i="19" l="1"/>
  <c r="BI11" i="1" l="1"/>
  <c r="BI12" i="19"/>
  <c r="F19" i="19"/>
  <c r="F20" i="19" l="1"/>
  <c r="F21" i="19" s="1"/>
  <c r="G17" i="19" s="1"/>
  <c r="BI13" i="19"/>
  <c r="BI21" i="7"/>
  <c r="BI14" i="1"/>
  <c r="F25" i="1"/>
  <c r="F28" i="1" s="1"/>
  <c r="BI23" i="7" l="1"/>
  <c r="BI27" i="7" s="1"/>
  <c r="F21" i="10"/>
  <c r="BI17" i="8"/>
  <c r="BJ9" i="19"/>
  <c r="BJ11" i="19" l="1"/>
  <c r="F17" i="17"/>
  <c r="F23" i="10"/>
  <c r="F27" i="10" s="1"/>
  <c r="BI18" i="8"/>
  <c r="F17" i="3"/>
  <c r="AY29" i="7"/>
  <c r="BE29" i="7"/>
  <c r="AZ29" i="7"/>
  <c r="BB29" i="7"/>
  <c r="BF29" i="7"/>
  <c r="BD29" i="7"/>
  <c r="BG29" i="7"/>
  <c r="BA29" i="7"/>
  <c r="BI29" i="7"/>
  <c r="BI17" i="9" s="1"/>
  <c r="BI22" i="9" s="1"/>
  <c r="BI24" i="9" s="1"/>
  <c r="BH29" i="7"/>
  <c r="AX29" i="7"/>
  <c r="BC29" i="7"/>
  <c r="BI31" i="7" l="1"/>
  <c r="BI22" i="8" s="1"/>
  <c r="BB17" i="9"/>
  <c r="BB22" i="9" s="1"/>
  <c r="BB24" i="9" s="1"/>
  <c r="BB31" i="7"/>
  <c r="AY17" i="9"/>
  <c r="AY22" i="9" s="1"/>
  <c r="AY24" i="9" s="1"/>
  <c r="AY31" i="7"/>
  <c r="BC17" i="9"/>
  <c r="BC22" i="9" s="1"/>
  <c r="BC24" i="9" s="1"/>
  <c r="BC31" i="7"/>
  <c r="BH17" i="9"/>
  <c r="BH22" i="9" s="1"/>
  <c r="BH24" i="9" s="1"/>
  <c r="BH31" i="7"/>
  <c r="BA17" i="9"/>
  <c r="BA22" i="9" s="1"/>
  <c r="BA24" i="9" s="1"/>
  <c r="BA31" i="7"/>
  <c r="AZ17" i="9"/>
  <c r="AZ22" i="9" s="1"/>
  <c r="AZ24" i="9" s="1"/>
  <c r="AZ31" i="7"/>
  <c r="B5" i="16"/>
  <c r="F18" i="3"/>
  <c r="BD17" i="9"/>
  <c r="BD22" i="9" s="1"/>
  <c r="BD24" i="9" s="1"/>
  <c r="BD31" i="7"/>
  <c r="BJ12" i="19"/>
  <c r="BE17" i="9"/>
  <c r="BE22" i="9" s="1"/>
  <c r="BE24" i="9" s="1"/>
  <c r="BE31" i="7"/>
  <c r="AX17" i="9"/>
  <c r="F29" i="10"/>
  <c r="F31" i="10" s="1"/>
  <c r="AX31" i="7"/>
  <c r="BG17" i="9"/>
  <c r="BG22" i="9" s="1"/>
  <c r="BG24" i="9" s="1"/>
  <c r="BG31" i="7"/>
  <c r="BF17" i="9"/>
  <c r="BF22" i="9" s="1"/>
  <c r="BF24" i="9" s="1"/>
  <c r="BF31" i="7"/>
  <c r="BI33" i="7" l="1"/>
  <c r="BH22" i="8"/>
  <c r="BH33" i="7"/>
  <c r="BJ13" i="19"/>
  <c r="BK9" i="19" s="1"/>
  <c r="F17" i="4"/>
  <c r="F22" i="4" s="1"/>
  <c r="F24" i="4" s="1"/>
  <c r="F27" i="4" s="1"/>
  <c r="AX22" i="9"/>
  <c r="AX24" i="9" s="1"/>
  <c r="AX27" i="9" s="1"/>
  <c r="BA33" i="7"/>
  <c r="BA22" i="8"/>
  <c r="BE22" i="8"/>
  <c r="BE33" i="7"/>
  <c r="BF22" i="8"/>
  <c r="BF33" i="7"/>
  <c r="BC22" i="8"/>
  <c r="BC33" i="7"/>
  <c r="AY33" i="7"/>
  <c r="AY22" i="8"/>
  <c r="BG22" i="8"/>
  <c r="BG33" i="7"/>
  <c r="BD33" i="7"/>
  <c r="BD22" i="8"/>
  <c r="F22" i="3"/>
  <c r="F8" i="18" s="1"/>
  <c r="F33" i="10"/>
  <c r="F4" i="18" s="1"/>
  <c r="F10" i="18"/>
  <c r="J15" i="25"/>
  <c r="F14" i="18"/>
  <c r="H17" i="16"/>
  <c r="H20" i="16" s="1"/>
  <c r="AX33" i="7"/>
  <c r="AX22" i="8"/>
  <c r="AX9" i="8"/>
  <c r="AZ22" i="8"/>
  <c r="AZ33" i="7"/>
  <c r="BB22" i="8"/>
  <c r="BB33" i="7"/>
  <c r="F19" i="17"/>
  <c r="F21" i="17" s="1"/>
  <c r="F23" i="17" s="1"/>
  <c r="F25" i="17" s="1"/>
  <c r="F4" i="5"/>
  <c r="F6" i="5" s="1"/>
  <c r="F7" i="5" s="1"/>
  <c r="F14" i="5" s="1"/>
  <c r="AX29" i="9" l="1"/>
  <c r="AY26" i="9"/>
  <c r="AY27" i="9" s="1"/>
  <c r="BK11" i="19"/>
  <c r="F24" i="3"/>
  <c r="B6" i="16"/>
  <c r="AY9" i="8"/>
  <c r="AX13" i="8"/>
  <c r="AY21" i="8"/>
  <c r="AX23" i="8"/>
  <c r="AX25" i="8" s="1"/>
  <c r="F15" i="18"/>
  <c r="AX27" i="8" l="1"/>
  <c r="B7" i="16"/>
  <c r="B8" i="16"/>
  <c r="AZ21" i="8"/>
  <c r="AY23" i="8"/>
  <c r="AY25" i="8" s="1"/>
  <c r="BK12" i="19"/>
  <c r="AZ9" i="8"/>
  <c r="AY13" i="8"/>
  <c r="B22" i="25"/>
  <c r="F25" i="3"/>
  <c r="F6" i="18"/>
  <c r="AY29" i="9"/>
  <c r="AZ26" i="9"/>
  <c r="AZ27" i="9" s="1"/>
  <c r="AY27" i="8" l="1"/>
  <c r="BA21" i="8"/>
  <c r="AZ23" i="8"/>
  <c r="AZ25" i="8" s="1"/>
  <c r="BA9" i="8"/>
  <c r="AZ13" i="8"/>
  <c r="B13" i="16"/>
  <c r="B24" i="16" s="1"/>
  <c r="BK13" i="19"/>
  <c r="BL9" i="19" s="1"/>
  <c r="AZ29" i="9"/>
  <c r="BA26" i="9"/>
  <c r="BA27" i="9" s="1"/>
  <c r="AZ27" i="8" l="1"/>
  <c r="BA29" i="9"/>
  <c r="BB26" i="9"/>
  <c r="BB27" i="9" s="1"/>
  <c r="BL11" i="19"/>
  <c r="G22" i="16"/>
  <c r="G24" i="16" s="1"/>
  <c r="H22" i="16"/>
  <c r="H24" i="16" s="1"/>
  <c r="B34" i="16" s="1"/>
  <c r="D22" i="16"/>
  <c r="D24" i="16" s="1"/>
  <c r="E22" i="16"/>
  <c r="E24" i="16" s="1"/>
  <c r="F22" i="16"/>
  <c r="F24" i="16" s="1"/>
  <c r="BB9" i="8"/>
  <c r="BA13" i="8"/>
  <c r="BB21" i="8"/>
  <c r="BA23" i="8"/>
  <c r="BA25" i="8" s="1"/>
  <c r="BA27" i="8" l="1"/>
  <c r="BC9" i="8"/>
  <c r="BB13" i="8"/>
  <c r="B32" i="16"/>
  <c r="B36" i="16" s="1"/>
  <c r="B26" i="16"/>
  <c r="B28" i="16"/>
  <c r="BL12" i="19"/>
  <c r="BC21" i="8"/>
  <c r="BB23" i="8"/>
  <c r="BB25" i="8" s="1"/>
  <c r="BC26" i="9"/>
  <c r="BC27" i="9" s="1"/>
  <c r="BB29" i="9"/>
  <c r="BD26" i="9" l="1"/>
  <c r="BD27" i="9" s="1"/>
  <c r="BC29" i="9"/>
  <c r="BB27" i="8"/>
  <c r="BD21" i="8"/>
  <c r="BC23" i="8"/>
  <c r="BC25" i="8" s="1"/>
  <c r="BL13" i="19"/>
  <c r="BM9" i="19" s="1"/>
  <c r="BD9" i="8"/>
  <c r="BC13" i="8"/>
  <c r="BE9" i="8" l="1"/>
  <c r="BD13" i="8"/>
  <c r="BE21" i="8"/>
  <c r="BD23" i="8"/>
  <c r="BD25" i="8" s="1"/>
  <c r="BC27" i="8"/>
  <c r="BM11" i="19"/>
  <c r="BD29" i="9"/>
  <c r="BE26" i="9"/>
  <c r="BE27" i="9" s="1"/>
  <c r="BM12" i="19" l="1"/>
  <c r="BF21" i="8"/>
  <c r="BE23" i="8"/>
  <c r="BE25" i="8" s="1"/>
  <c r="BD27" i="8"/>
  <c r="BF26" i="9"/>
  <c r="BF27" i="9" s="1"/>
  <c r="BE29" i="9"/>
  <c r="BF9" i="8"/>
  <c r="BE13" i="8"/>
  <c r="BE27" i="8" s="1"/>
  <c r="BG9" i="8" l="1"/>
  <c r="BF13" i="8"/>
  <c r="BF29" i="9"/>
  <c r="BG26" i="9"/>
  <c r="BG27" i="9" s="1"/>
  <c r="BG21" i="8"/>
  <c r="BF23" i="8"/>
  <c r="BF25" i="8" s="1"/>
  <c r="BM13" i="19"/>
  <c r="BN9" i="19" s="1"/>
  <c r="BN11" i="19" l="1"/>
  <c r="BG29" i="9"/>
  <c r="BH26" i="9"/>
  <c r="BH27" i="9" s="1"/>
  <c r="BF27" i="8"/>
  <c r="BH21" i="8"/>
  <c r="BG23" i="8"/>
  <c r="BG25" i="8" s="1"/>
  <c r="BH9" i="8"/>
  <c r="BG13" i="8"/>
  <c r="BG27" i="8" l="1"/>
  <c r="BI26" i="9"/>
  <c r="BI27" i="9" s="1"/>
  <c r="BH29" i="9"/>
  <c r="BI9" i="8"/>
  <c r="BH13" i="8"/>
  <c r="BI21" i="8"/>
  <c r="BI23" i="8" s="1"/>
  <c r="BI25" i="8" s="1"/>
  <c r="BH23" i="8"/>
  <c r="BH25" i="8" s="1"/>
  <c r="BN12" i="19"/>
  <c r="BN13" i="19" l="1"/>
  <c r="BO9" i="19" s="1"/>
  <c r="BH27" i="8"/>
  <c r="F9" i="3"/>
  <c r="BI13" i="8"/>
  <c r="BI27" i="8" s="1"/>
  <c r="BI29" i="9"/>
  <c r="F13" i="3" l="1"/>
  <c r="F29" i="4"/>
  <c r="BO11" i="19"/>
  <c r="BO12" i="19" s="1"/>
  <c r="BO13" i="19" s="1"/>
  <c r="BP9" i="19" s="1"/>
  <c r="BP11" i="19" l="1"/>
  <c r="BP12" i="19" s="1"/>
  <c r="BP13" i="19" s="1"/>
  <c r="BQ9" i="19" s="1"/>
  <c r="F7" i="18"/>
  <c r="F27" i="3"/>
  <c r="F11" i="18"/>
  <c r="F9" i="18"/>
  <c r="BQ11" i="19" l="1"/>
  <c r="BQ12" i="19" s="1"/>
  <c r="BQ13" i="19" s="1"/>
  <c r="BR9" i="19" s="1"/>
  <c r="BR11" i="19" l="1"/>
  <c r="BR12" i="19" s="1"/>
  <c r="BR13" i="19" s="1"/>
  <c r="BS9" i="19" s="1"/>
  <c r="BS11" i="19" l="1"/>
  <c r="BS12" i="19" s="1"/>
  <c r="BS13" i="19" s="1"/>
  <c r="BT9" i="19" s="1"/>
  <c r="BT11" i="19" l="1"/>
  <c r="BT12" i="19" s="1"/>
  <c r="BT13" i="19" s="1"/>
  <c r="BU9" i="19" s="1"/>
  <c r="BU11" i="19" l="1"/>
  <c r="BU12" i="19" l="1"/>
  <c r="G19" i="19"/>
  <c r="G20" i="19" l="1"/>
  <c r="G21" i="19" s="1"/>
  <c r="H17" i="19" s="1"/>
  <c r="BU13" i="19"/>
  <c r="BV9" i="19" s="1"/>
  <c r="BV11" i="19" l="1"/>
  <c r="BV12" i="19" l="1"/>
  <c r="BV13" i="19" l="1"/>
  <c r="BW9" i="19" s="1"/>
  <c r="BW11" i="19" l="1"/>
  <c r="BW12" i="19" l="1"/>
  <c r="BW13" i="19" l="1"/>
  <c r="BX9" i="19" s="1"/>
  <c r="BX11" i="19" l="1"/>
  <c r="BX12" i="19" l="1"/>
  <c r="BX13" i="19" l="1"/>
  <c r="BY9" i="19" s="1"/>
  <c r="BY11" i="19" l="1"/>
  <c r="BY12" i="19" l="1"/>
  <c r="BY13" i="19" l="1"/>
  <c r="BZ9" i="19" s="1"/>
  <c r="BZ11" i="19" l="1"/>
  <c r="BZ12" i="19" l="1"/>
  <c r="BZ13" i="19" l="1"/>
  <c r="CA9" i="19" s="1"/>
  <c r="CA11" i="19" l="1"/>
  <c r="CA12" i="19" s="1"/>
  <c r="CA13" i="19"/>
  <c r="CB9" i="19" s="1"/>
  <c r="CB11" i="19" l="1"/>
  <c r="CB12" i="19" s="1"/>
  <c r="CB13" i="19" s="1"/>
  <c r="CC9" i="19" s="1"/>
  <c r="CC11" i="19" l="1"/>
  <c r="CC12" i="19" s="1"/>
  <c r="CC13" i="19" s="1"/>
  <c r="CD9" i="19" s="1"/>
  <c r="CD11" i="19" l="1"/>
  <c r="CD12" i="19" s="1"/>
  <c r="CD13" i="19" s="1"/>
  <c r="CE9" i="19" s="1"/>
  <c r="CE11" i="19" l="1"/>
  <c r="CE12" i="19" s="1"/>
  <c r="CE13" i="19" s="1"/>
  <c r="CF9" i="19" s="1"/>
  <c r="CF11" i="19" l="1"/>
  <c r="CF12" i="19" s="1"/>
  <c r="CF13" i="19" s="1"/>
  <c r="CG9" i="19" s="1"/>
  <c r="CG11" i="19" l="1"/>
  <c r="CG12" i="19" l="1"/>
  <c r="H19" i="19"/>
  <c r="H20" i="19" l="1"/>
  <c r="H21" i="19" s="1"/>
  <c r="CG13" i="19"/>
</calcChain>
</file>

<file path=xl/sharedStrings.xml><?xml version="1.0" encoding="utf-8"?>
<sst xmlns="http://schemas.openxmlformats.org/spreadsheetml/2006/main" count="1470" uniqueCount="325">
  <si>
    <t>Particulars</t>
  </si>
  <si>
    <t>Year 1</t>
  </si>
  <si>
    <t>Year 2</t>
  </si>
  <si>
    <t>Year 3</t>
  </si>
  <si>
    <t>Year 4</t>
  </si>
  <si>
    <t>Year 5</t>
  </si>
  <si>
    <t>Revenue Growth Rate Monthly</t>
  </si>
  <si>
    <t>Payroll Growth Rate</t>
  </si>
  <si>
    <t>Rent / Lease Growth Rate</t>
  </si>
  <si>
    <t>Marketing Growth Rate</t>
  </si>
  <si>
    <t>Other Expenses Growth Rate</t>
  </si>
  <si>
    <t>Income Tax Rate</t>
  </si>
  <si>
    <t>TOTAL INVESTMENT NEEDED</t>
  </si>
  <si>
    <t>Equity Invested</t>
  </si>
  <si>
    <t>ASSETS AND DEPRECIATION ASSUMPTIONS</t>
  </si>
  <si>
    <t>Mon 1</t>
  </si>
  <si>
    <t>Dep. Rate</t>
  </si>
  <si>
    <t>Additional Purchase of Assets</t>
  </si>
  <si>
    <t>Month</t>
  </si>
  <si>
    <t>Cost</t>
  </si>
  <si>
    <t>Mon 13</t>
  </si>
  <si>
    <t>Startup Expenses</t>
  </si>
  <si>
    <t>PAYROLL ASSUMPTIONS</t>
  </si>
  <si>
    <t>Name of Employees</t>
  </si>
  <si>
    <t>Monthly Salary</t>
  </si>
  <si>
    <t>No. of Personnel</t>
  </si>
  <si>
    <t>Total</t>
  </si>
  <si>
    <t>Interest Rate</t>
  </si>
  <si>
    <t>nper</t>
  </si>
  <si>
    <t>years</t>
  </si>
  <si>
    <t>OPERATING EXPENSES ASSUMPTIONS</t>
  </si>
  <si>
    <t>Operating Expenses</t>
  </si>
  <si>
    <t>Monthly Amt.</t>
  </si>
  <si>
    <t>Marketing &amp; Advertising</t>
  </si>
  <si>
    <t>Miscellaneous Expenses</t>
  </si>
  <si>
    <t>Total Expenses</t>
  </si>
  <si>
    <t>Cash Sales Percentage</t>
  </si>
  <si>
    <t>Credit Sales Percentage</t>
  </si>
  <si>
    <t>Credit Received in</t>
  </si>
  <si>
    <t>months</t>
  </si>
  <si>
    <t>Accounts Receivable Schedule</t>
  </si>
  <si>
    <t>Mon 2</t>
  </si>
  <si>
    <t>Mon 3</t>
  </si>
  <si>
    <t>Mon 4</t>
  </si>
  <si>
    <t>Mon 5</t>
  </si>
  <si>
    <t>Mon 6</t>
  </si>
  <si>
    <t>Mon 7</t>
  </si>
  <si>
    <t>Mon 8</t>
  </si>
  <si>
    <t>Mon 9</t>
  </si>
  <si>
    <t>Mon 10</t>
  </si>
  <si>
    <t>Mon 11</t>
  </si>
  <si>
    <t>Mon 12</t>
  </si>
  <si>
    <t>Mon 14</t>
  </si>
  <si>
    <t>Mon 15</t>
  </si>
  <si>
    <t>Mon 16</t>
  </si>
  <si>
    <t>Mon 17</t>
  </si>
  <si>
    <t>Mon 18</t>
  </si>
  <si>
    <t>Mon 19</t>
  </si>
  <si>
    <t>Mon 20</t>
  </si>
  <si>
    <t>Mon 21</t>
  </si>
  <si>
    <t>Mon 22</t>
  </si>
  <si>
    <t>Mon 23</t>
  </si>
  <si>
    <t>Mon 24</t>
  </si>
  <si>
    <t>Mon 25</t>
  </si>
  <si>
    <t>Mon 26</t>
  </si>
  <si>
    <t>Mon 27</t>
  </si>
  <si>
    <t>Mon 28</t>
  </si>
  <si>
    <t>Mon 29</t>
  </si>
  <si>
    <t>Mon 30</t>
  </si>
  <si>
    <t>Mon 31</t>
  </si>
  <si>
    <t>Mon 32</t>
  </si>
  <si>
    <t>Mon 33</t>
  </si>
  <si>
    <t>Mon 34</t>
  </si>
  <si>
    <t>Mon 35</t>
  </si>
  <si>
    <t>Mon 36</t>
  </si>
  <si>
    <t>Mon 37</t>
  </si>
  <si>
    <t>Mon 38</t>
  </si>
  <si>
    <t>Mon 39</t>
  </si>
  <si>
    <t>Mon 40</t>
  </si>
  <si>
    <t>Mon 41</t>
  </si>
  <si>
    <t>Mon 42</t>
  </si>
  <si>
    <t>Mon 43</t>
  </si>
  <si>
    <t>Mon 44</t>
  </si>
  <si>
    <t>Mon 45</t>
  </si>
  <si>
    <t>Mon 46</t>
  </si>
  <si>
    <t>Mon 47</t>
  </si>
  <si>
    <t>Mon 48</t>
  </si>
  <si>
    <t>Mon 49</t>
  </si>
  <si>
    <t>Mon 50</t>
  </si>
  <si>
    <t>Mon 51</t>
  </si>
  <si>
    <t>Mon 52</t>
  </si>
  <si>
    <t>Mon 53</t>
  </si>
  <si>
    <t>Mon 54</t>
  </si>
  <si>
    <t>Mon 55</t>
  </si>
  <si>
    <t>Mon 56</t>
  </si>
  <si>
    <t>Mon 57</t>
  </si>
  <si>
    <t>Mon 58</t>
  </si>
  <si>
    <t>Mon 59</t>
  </si>
  <si>
    <t>Mon 60</t>
  </si>
  <si>
    <t>Total Sales</t>
  </si>
  <si>
    <t>Cash Sales</t>
  </si>
  <si>
    <t>Credit Sales</t>
  </si>
  <si>
    <t>Total Cash Received</t>
  </si>
  <si>
    <t>Accounts Receivable</t>
  </si>
  <si>
    <t>Accounts Payable</t>
  </si>
  <si>
    <t>Cost of Assets</t>
  </si>
  <si>
    <t>Assets Purchase Schedule</t>
  </si>
  <si>
    <t>Net Cost Schedule</t>
  </si>
  <si>
    <t>Depreciation Schedule</t>
  </si>
  <si>
    <t>Accumulated Depreciation Schedule</t>
  </si>
  <si>
    <t>Written Down Value Schedule</t>
  </si>
  <si>
    <t>Staff Payroll Plan 
(Monthly)</t>
  </si>
  <si>
    <t>Monthly Pay
Year 1</t>
  </si>
  <si>
    <t>Monthly Pay
Year 2</t>
  </si>
  <si>
    <t>Monthly Pay
Year 3</t>
  </si>
  <si>
    <t>Monthly Pay
Year 4</t>
  </si>
  <si>
    <t>Monthly Pay
Year 5</t>
  </si>
  <si>
    <t>Headcount</t>
  </si>
  <si>
    <t>Payroll Plan Monthly</t>
  </si>
  <si>
    <t>Payroll Plan Yearly</t>
  </si>
  <si>
    <t>PMT</t>
  </si>
  <si>
    <t>Monthly Loan Schedule</t>
  </si>
  <si>
    <t>Mon 61</t>
  </si>
  <si>
    <t>Mon 62</t>
  </si>
  <si>
    <t>Mon 63</t>
  </si>
  <si>
    <t>Mon 64</t>
  </si>
  <si>
    <t>Mon 65</t>
  </si>
  <si>
    <t>Mon 66</t>
  </si>
  <si>
    <t>Mon 67</t>
  </si>
  <si>
    <t>Mon 68</t>
  </si>
  <si>
    <t>Mon 69</t>
  </si>
  <si>
    <t>Mon 70</t>
  </si>
  <si>
    <t>Mon 71</t>
  </si>
  <si>
    <t>Mon 72</t>
  </si>
  <si>
    <t>Mon 73</t>
  </si>
  <si>
    <t>Mon 74</t>
  </si>
  <si>
    <t>Mon 75</t>
  </si>
  <si>
    <t>Mon 76</t>
  </si>
  <si>
    <t>Mon 77</t>
  </si>
  <si>
    <t>Mon 78</t>
  </si>
  <si>
    <t>Mon 79</t>
  </si>
  <si>
    <t>Mon 80</t>
  </si>
  <si>
    <t>Mon 81</t>
  </si>
  <si>
    <t>Mon 82</t>
  </si>
  <si>
    <t>Mon 83</t>
  </si>
  <si>
    <t>Mon 84</t>
  </si>
  <si>
    <t>Beginning Balance</t>
  </si>
  <si>
    <t>Installment</t>
  </si>
  <si>
    <t>Interest Payment</t>
  </si>
  <si>
    <t>Principal Payment</t>
  </si>
  <si>
    <t>Ending Balance</t>
  </si>
  <si>
    <t>Yearly Loan Schedule</t>
  </si>
  <si>
    <t>Year 6</t>
  </si>
  <si>
    <t>Year 7</t>
  </si>
  <si>
    <t>Costs</t>
  </si>
  <si>
    <t>Amount</t>
  </si>
  <si>
    <t>Fixed Assets:</t>
  </si>
  <si>
    <t>Current Assets:</t>
  </si>
  <si>
    <t>Cash (Working Capital &amp; Reserves)</t>
  </si>
  <si>
    <t>Expenses:</t>
  </si>
  <si>
    <t>Assets to Fund</t>
  </si>
  <si>
    <t>Expenses to Fund</t>
  </si>
  <si>
    <t>Total Investment</t>
  </si>
  <si>
    <t>Investment Breakup</t>
  </si>
  <si>
    <t>Loan</t>
  </si>
  <si>
    <t>Capital Investment</t>
  </si>
  <si>
    <t>Loan %</t>
  </si>
  <si>
    <t>Capital Investment %</t>
  </si>
  <si>
    <t>Expenses</t>
  </si>
  <si>
    <t>Payroll</t>
  </si>
  <si>
    <t>Interest Expense</t>
  </si>
  <si>
    <t>Depreciation</t>
  </si>
  <si>
    <t xml:space="preserve">Revenue Details </t>
  </si>
  <si>
    <t>Pro Forma Profit and Loss</t>
  </si>
  <si>
    <t>** EBITDA = Earnings before Interest, Tax and Depreciation Allowance</t>
  </si>
  <si>
    <t>** EBIT = Earnings before Interest and Tax</t>
  </si>
  <si>
    <t>Operating Expenses:</t>
  </si>
  <si>
    <t>** EBT = Earnings before Tax</t>
  </si>
  <si>
    <t>Net Income/Revenue</t>
  </si>
  <si>
    <t>Assets and Liabilities</t>
  </si>
  <si>
    <t>Non-Current Assets</t>
  </si>
  <si>
    <t>Current Assets</t>
  </si>
  <si>
    <t>Total Assets</t>
  </si>
  <si>
    <t>Sales-Revenue</t>
  </si>
  <si>
    <t>Variable Cost</t>
  </si>
  <si>
    <t>Contribution</t>
  </si>
  <si>
    <t>Contribution Margin</t>
  </si>
  <si>
    <t>Fixed Cost:</t>
  </si>
  <si>
    <t>Total Selling General and Admin Expenses</t>
  </si>
  <si>
    <t>Total Fixed Cost</t>
  </si>
  <si>
    <t>Break Even Sales</t>
  </si>
  <si>
    <t>Cash Inflows:</t>
  </si>
  <si>
    <t>Sales Revenue</t>
  </si>
  <si>
    <t>Total Inflows</t>
  </si>
  <si>
    <t>Cash Outflows:</t>
  </si>
  <si>
    <t>Total Outflows</t>
  </si>
  <si>
    <t>Net Cash generated</t>
  </si>
  <si>
    <t>Opening Cash Balance</t>
  </si>
  <si>
    <t>Ending Cash Balance</t>
  </si>
  <si>
    <t>EBITDA</t>
  </si>
  <si>
    <t>EBTDA</t>
  </si>
  <si>
    <t>Earnings before Tax (EBT)</t>
  </si>
  <si>
    <t>Tax</t>
  </si>
  <si>
    <t>Net Income / (Loss)</t>
  </si>
  <si>
    <t>Cash</t>
  </si>
  <si>
    <t>Inventory</t>
  </si>
  <si>
    <t>LIABILITIES AND EQUITY:</t>
  </si>
  <si>
    <t xml:space="preserve">LIABILITIES </t>
  </si>
  <si>
    <t>Total Liabilities</t>
  </si>
  <si>
    <t>EQUITY</t>
  </si>
  <si>
    <t>Capital</t>
  </si>
  <si>
    <t>Retained Earnings</t>
  </si>
  <si>
    <t>Profit or loss balance</t>
  </si>
  <si>
    <t>TOTAL EQUITY</t>
  </si>
  <si>
    <t>TOTAL LIABILITIES AND EQUITY</t>
  </si>
  <si>
    <t>Cash Received from Revenue</t>
  </si>
  <si>
    <t>Loan Proceeds / Capital Injection</t>
  </si>
  <si>
    <t>Purchase of Assets</t>
  </si>
  <si>
    <t>Loan Repayment</t>
  </si>
  <si>
    <t xml:space="preserve"> </t>
  </si>
  <si>
    <t>Inputs</t>
  </si>
  <si>
    <t>Beta</t>
  </si>
  <si>
    <t>http://pages.stern.nyu.edu/~adamodar/New_Home_Page/datafile/Betas.html</t>
  </si>
  <si>
    <t>Risk free Rate</t>
  </si>
  <si>
    <t>https://www.investing.com/rates-bonds/u.s.-5-year-bond-yield</t>
  </si>
  <si>
    <t>Market Return</t>
  </si>
  <si>
    <t>Debt</t>
  </si>
  <si>
    <t>Equity</t>
  </si>
  <si>
    <t>Weight of Equity</t>
  </si>
  <si>
    <t>Weight of Debt</t>
  </si>
  <si>
    <t>Cost of Equity</t>
  </si>
  <si>
    <t>Cost of Debt</t>
  </si>
  <si>
    <t>WACC</t>
  </si>
  <si>
    <t>Year 0</t>
  </si>
  <si>
    <t>Net Income</t>
  </si>
  <si>
    <t>Add: Depreciation &amp; Amortization</t>
  </si>
  <si>
    <t>Less: Capital Expenditures</t>
  </si>
  <si>
    <t>Free Cash Flows</t>
  </si>
  <si>
    <t>Discount Factor</t>
  </si>
  <si>
    <t>Discounted Cash Flows</t>
  </si>
  <si>
    <t>NPV</t>
  </si>
  <si>
    <t>IRR</t>
  </si>
  <si>
    <t>Perpetuity Growth Rate</t>
  </si>
  <si>
    <t>PV of Future Cash Flows</t>
  </si>
  <si>
    <t>PV of Terminal Value</t>
  </si>
  <si>
    <t>Value of the Company</t>
  </si>
  <si>
    <t>Select a scenario from the list</t>
  </si>
  <si>
    <t>Base Case</t>
  </si>
  <si>
    <t>Low Case</t>
  </si>
  <si>
    <t>High Case</t>
  </si>
  <si>
    <t>Financial Ratios</t>
  </si>
  <si>
    <t>Operating Cost Ratio</t>
  </si>
  <si>
    <t>Net Margin Ratio</t>
  </si>
  <si>
    <t>Accounts Receivable Turnover</t>
  </si>
  <si>
    <t>Debt to Equity Ratio</t>
  </si>
  <si>
    <t>Net Worth</t>
  </si>
  <si>
    <t>Return on Equity</t>
  </si>
  <si>
    <t>Return on Assets</t>
  </si>
  <si>
    <t>Return on Investment (ROI)</t>
  </si>
  <si>
    <t>Assets Turnover Ratio (Times)</t>
  </si>
  <si>
    <t>Revenue Growth</t>
  </si>
  <si>
    <t>Expenses Growth</t>
  </si>
  <si>
    <t>Net Income Growth</t>
  </si>
  <si>
    <t xml:space="preserve">Year </t>
  </si>
  <si>
    <t>Value</t>
  </si>
  <si>
    <t xml:space="preserve"> Growth</t>
  </si>
  <si>
    <t>Startup Assets</t>
  </si>
  <si>
    <t>Owner / Manager</t>
  </si>
  <si>
    <t>Per Month</t>
  </si>
  <si>
    <t>Marketing &amp; Advertising Campaigns</t>
  </si>
  <si>
    <t>https://taxfoundation.org/location/texas/?utm_term=state%20taxes&amp;utm_campaign=State+Data+Pages&amp;utm_source=adwords&amp;utm_medium=ppc&amp;hs</t>
  </si>
  <si>
    <t>LOAN ASSUMPTIONS</t>
  </si>
  <si>
    <t>https://www.sba.gov/partners/lenders/7a-loan-program/terms-conditions-eligibility#interest-rates</t>
  </si>
  <si>
    <t>Payroll Reserves</t>
  </si>
  <si>
    <t>Loan Payable</t>
  </si>
  <si>
    <t>Revenue Inputs</t>
  </si>
  <si>
    <t xml:space="preserve">Year1 </t>
  </si>
  <si>
    <t>Year2</t>
  </si>
  <si>
    <t>Year3</t>
  </si>
  <si>
    <t>Year4</t>
  </si>
  <si>
    <t>Year5</t>
  </si>
  <si>
    <t xml:space="preserve">Total Cumulative Revenue </t>
  </si>
  <si>
    <t>Regulatory Compliance &amp; Certifications</t>
  </si>
  <si>
    <t>CTO</t>
  </si>
  <si>
    <t>AI &amp; Software Engineers</t>
  </si>
  <si>
    <t>Compliance &amp; Security Lead</t>
  </si>
  <si>
    <t>Admin Staff</t>
  </si>
  <si>
    <t>Manufacturing Technicians</t>
  </si>
  <si>
    <t>Rent &amp; Utilities</t>
  </si>
  <si>
    <t>Regulatory &amp; Compliance</t>
  </si>
  <si>
    <t>Insurance &amp; Security</t>
  </si>
  <si>
    <t>R&amp;D &amp; Prototyping</t>
  </si>
  <si>
    <t>Price Per Unit</t>
  </si>
  <si>
    <t>Units Required For Each Mile Of Southern Border</t>
  </si>
  <si>
    <t>Cost Of Goods Sold Components</t>
  </si>
  <si>
    <t>Raw Materials</t>
  </si>
  <si>
    <t>Electronics Components Cost Pcb Amplifiers Sensors</t>
  </si>
  <si>
    <t>Production Overheads</t>
  </si>
  <si>
    <t>Logistics &amp; Shipping</t>
  </si>
  <si>
    <t>Maintenance &amp; Equipment Upkeep</t>
  </si>
  <si>
    <t>No.Of Units</t>
  </si>
  <si>
    <t>Total Cumulative Cost Of Goods Sold</t>
  </si>
  <si>
    <t>Revenue</t>
  </si>
  <si>
    <t>https://www.salary.com/research/salary/benchmark/chief-technology-officer-salary</t>
  </si>
  <si>
    <t>https://www.indeed.com/hire/job-description/ai-engineer</t>
  </si>
  <si>
    <t>https://www.glassdoor.com/Salaries/ai-marketing-specialist-salary-SRCH_KO0%2C23.htm</t>
  </si>
  <si>
    <t>salary.com/research/salary/listing/manufacturing-technician-salary?utm_source=</t>
  </si>
  <si>
    <t>bls.gov/ooh/office-and-administrative-support/secretaries-and-administrative-assistants.htm?utm_so</t>
  </si>
  <si>
    <t>Cost Of Goods Sold</t>
  </si>
  <si>
    <t>Gross Profit</t>
  </si>
  <si>
    <t>Cash Paid For Cogs</t>
  </si>
  <si>
    <t>No.Of Miles Installed</t>
  </si>
  <si>
    <t>R&amp;D &amp; Testing</t>
  </si>
  <si>
    <t>R&amp;D Surveillance System</t>
  </si>
  <si>
    <t>Marketing Specialist</t>
  </si>
  <si>
    <t>Total Revenue</t>
  </si>
  <si>
    <t>https://www.glassdoor.com/Salaries/compliance-security-lead-salary-SRCH_KO0,23.htm</t>
  </si>
  <si>
    <t>Packaging &amp; Quality Control</t>
  </si>
  <si>
    <t>Upgraded Units Sales Revenue</t>
  </si>
  <si>
    <t>Standard Units Sales Revenue</t>
  </si>
  <si>
    <t>Per Year</t>
  </si>
  <si>
    <t>Cost For Upgraded Units</t>
  </si>
  <si>
    <t>Total Cost For Standard Units</t>
  </si>
  <si>
    <t>Shop Upgrades</t>
  </si>
  <si>
    <t>Metal Fabrication Shop Acquisition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</si>
</sst>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&quot;$&quot;#,##0"/>
    <numFmt numFmtId="166" formatCode="&quot;$&quot;#,##0;\-&quot;$&quot;#,##0"/>
    <numFmt numFmtId="167" formatCode="_(* #,##0_);_(* \(#,##0\);_(* &quot;-&quot;??_);_(@_)"/>
    <numFmt numFmtId="168" formatCode="&quot;Year&quot;\ #"/>
    <numFmt numFmtId="169" formatCode="[$€-2]\ #,##0_);\([$€-2]\ #,##0\)"/>
    <numFmt numFmtId="170" formatCode="[$MXN]\ #,##0_);\([$MXN]\ #,##0\)"/>
    <numFmt numFmtId="171" formatCode="&quot;$&quot;#,##0;[Red]&quot;$&quot;#,##0"/>
    <numFmt numFmtId="172" formatCode="[$R-1C09]\ #,##0;[$R-1C09]\ \-#,##0"/>
    <numFmt numFmtId="173" formatCode="0.000000000%"/>
    <numFmt numFmtId="174" formatCode="[$MMK]\ #,##0_);\([$MMK]\ #,##0\)"/>
    <numFmt numFmtId="175" formatCode="_(&quot;$&quot;* #,##0_);_(&quot;$&quot;* \(#,##0\);_(&quot;$&quot;* &quot;-&quot;??_);_(@_)"/>
    <numFmt numFmtId="176" formatCode="&quot;$&quot;#,##0.00;[Red]&quot;$&quot;#,##0.00"/>
    <numFmt numFmtId="177" formatCode="#,##0\ [$kr-143B]"/>
    <numFmt numFmtId="178" formatCode="[$CAD]\ #,##0_);\([$CAD]\ #,##0\)"/>
    <numFmt numFmtId="179" formatCode="[$£-809]#,##0;\-[$£-809]#,##0"/>
  </numFmts>
  <fonts count="56">
    <font>
      <sz val="11"/>
      <color theme="1"/>
      <name val="Calibri"/>
      <charset val="134"/>
      <scheme val="minor"/>
    </font>
    <font>
      <sz val="11"/>
      <color theme="0"/>
      <name val="Calibri"/>
      <charset val="134"/>
      <scheme val="minor"/>
    </font>
    <font>
      <sz val="18"/>
      <color theme="0"/>
      <name val="Aharoni"/>
      <charset val="177"/>
    </font>
    <font>
      <b/>
      <sz val="11"/>
      <color theme="1"/>
      <name val="Candara"/>
      <charset val="134"/>
    </font>
    <font>
      <b/>
      <sz val="11"/>
      <color theme="1"/>
      <name val="Calibri"/>
      <charset val="134"/>
      <scheme val="minor"/>
    </font>
    <font>
      <sz val="12"/>
      <color theme="1"/>
      <name val="Candara"/>
      <charset val="134"/>
    </font>
    <font>
      <sz val="17"/>
      <color theme="1"/>
      <name val="Candara"/>
      <charset val="134"/>
    </font>
    <font>
      <sz val="17"/>
      <color theme="1"/>
      <name val="Calibri"/>
      <charset val="134"/>
      <scheme val="minor"/>
    </font>
    <font>
      <b/>
      <sz val="13"/>
      <color theme="0"/>
      <name val="Candara"/>
      <charset val="134"/>
    </font>
    <font>
      <sz val="13"/>
      <color theme="1"/>
      <name val="Candara"/>
      <charset val="134"/>
    </font>
    <font>
      <i/>
      <sz val="11"/>
      <color theme="1"/>
      <name val="Calibri"/>
      <charset val="134"/>
      <scheme val="minor"/>
    </font>
    <font>
      <b/>
      <i/>
      <sz val="22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b/>
      <sz val="12"/>
      <color theme="1"/>
      <name val="Candara"/>
      <charset val="134"/>
    </font>
    <font>
      <b/>
      <sz val="20"/>
      <color rgb="FFFF0000"/>
      <name val="Candara"/>
      <charset val="134"/>
    </font>
    <font>
      <u/>
      <sz val="11"/>
      <color theme="10"/>
      <name val="Calibri"/>
      <charset val="134"/>
      <scheme val="minor"/>
    </font>
    <font>
      <u/>
      <sz val="11"/>
      <color rgb="FFFF0000"/>
      <name val="Candara"/>
      <charset val="134"/>
    </font>
    <font>
      <sz val="12"/>
      <color theme="0"/>
      <name val="Candara"/>
      <charset val="134"/>
    </font>
    <font>
      <b/>
      <sz val="12"/>
      <color theme="0"/>
      <name val="Candara"/>
      <charset val="134"/>
    </font>
    <font>
      <b/>
      <sz val="12"/>
      <color rgb="FF002060"/>
      <name val="Candara"/>
      <charset val="134"/>
    </font>
    <font>
      <sz val="11"/>
      <color theme="1"/>
      <name val="Candara"/>
      <charset val="134"/>
    </font>
    <font>
      <b/>
      <sz val="11"/>
      <color theme="0"/>
      <name val="Candara"/>
      <charset val="134"/>
    </font>
    <font>
      <b/>
      <sz val="10"/>
      <color theme="1"/>
      <name val="Candara"/>
      <charset val="134"/>
    </font>
    <font>
      <sz val="10"/>
      <color theme="1"/>
      <name val="Candara"/>
      <charset val="134"/>
    </font>
    <font>
      <b/>
      <i/>
      <sz val="12"/>
      <color theme="1" tint="0.249977111117893"/>
      <name val="Candara"/>
      <charset val="134"/>
    </font>
    <font>
      <b/>
      <sz val="13"/>
      <color theme="1"/>
      <name val="Candara"/>
      <charset val="134"/>
    </font>
    <font>
      <sz val="13"/>
      <name val="Candara"/>
      <charset val="134"/>
    </font>
    <font>
      <b/>
      <sz val="12"/>
      <name val="Candara"/>
      <charset val="134"/>
    </font>
    <font>
      <sz val="12"/>
      <name val="Candara"/>
      <charset val="134"/>
    </font>
    <font>
      <u/>
      <sz val="12"/>
      <color theme="10"/>
      <name val="Calibri"/>
      <charset val="134"/>
      <scheme val="minor"/>
    </font>
    <font>
      <sz val="11"/>
      <color theme="4" tint="-0.249977111117893"/>
      <name val="Calibri"/>
      <charset val="134"/>
      <scheme val="minor"/>
    </font>
    <font>
      <sz val="45"/>
      <color rgb="FF4472C4"/>
      <name val="Calibri"/>
      <charset val="134"/>
      <scheme val="minor"/>
    </font>
    <font>
      <i/>
      <sz val="54"/>
      <color rgb="FF2E75B6"/>
      <name val="Arial Rounded MT Bold"/>
      <charset val="134"/>
    </font>
    <font>
      <sz val="11"/>
      <color theme="1"/>
      <name val="Calibri"/>
      <charset val="134"/>
      <scheme val="minor"/>
    </font>
    <font>
      <sz val="11"/>
      <color indexed="8"/>
      <name val="Calibri"/>
      <charset val="1"/>
    </font>
    <font>
      <sz val="10"/>
      <name val="Verdana"/>
      <charset val="134"/>
    </font>
    <font>
      <b/>
      <sz val="13"/>
      <color theme="0"/>
      <name val="Candara"/>
      <family val="2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color theme="1"/>
      <name val="Candara"/>
      <family val="2"/>
    </font>
    <font>
      <sz val="12"/>
      <color rgb="FF00B050"/>
      <name val="Calibri"/>
      <family val="2"/>
      <scheme val="minor"/>
    </font>
    <font>
      <sz val="11"/>
      <color theme="1"/>
      <name val="Candara"/>
      <family val="2"/>
    </font>
    <font>
      <b/>
      <sz val="16"/>
      <color theme="1"/>
      <name val="Calibri"/>
      <family val="2"/>
      <scheme val="minor"/>
    </font>
    <font>
      <sz val="16"/>
      <color rgb="FFFF0000"/>
      <name val="Candara"/>
      <family val="2"/>
    </font>
    <font>
      <i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6"/>
      <color rgb="FFFF0000"/>
      <name val="Candara"/>
      <family val="2"/>
    </font>
    <font>
      <sz val="12"/>
      <color rgb="FFFF0000"/>
      <name val="Candara"/>
      <family val="2"/>
    </font>
    <font>
      <b/>
      <sz val="12"/>
      <color theme="1"/>
      <name val="Candara"/>
      <family val="2"/>
    </font>
    <font>
      <sz val="12"/>
      <name val="Candara"/>
      <family val="2"/>
    </font>
    <font>
      <sz val="13"/>
      <color theme="1"/>
      <name val="Candara"/>
      <family val="2"/>
    </font>
    <font>
      <sz val="16"/>
      <color theme="1"/>
      <name val="Candara"/>
      <family val="2"/>
    </font>
    <font>
      <b/>
      <sz val="11"/>
      <color theme="1"/>
      <name val="Calibri"/>
      <family val="2"/>
      <scheme val="minor"/>
    </font>
    <font>
      <sz val="10"/>
      <color theme="1"/>
      <name val="Candara"/>
      <family val="2"/>
    </font>
    <font>
      <b/>
      <sz val="16"/>
      <color rgb="FFFF0000"/>
      <name val="Candara"/>
      <family val="2"/>
    </font>
    <font>
      <b/>
      <sz val="16"/>
      <color theme="0"/>
      <name val="Candara"/>
      <family val="2"/>
    </font>
  </fonts>
  <fills count="8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 style="double">
        <color theme="3"/>
      </left>
      <right style="double">
        <color theme="3"/>
      </right>
      <top style="double">
        <color theme="3"/>
      </top>
      <bottom style="double">
        <color theme="3"/>
      </bottom>
      <diagonal/>
    </border>
    <border>
      <left style="thin">
        <color rgb="FF4472C4"/>
      </left>
      <right style="thin">
        <color rgb="FF4472C4"/>
      </right>
      <top style="thin">
        <color rgb="FF4472C4"/>
      </top>
      <bottom style="thin">
        <color rgb="FF4472C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rgb="FF4472C4"/>
      </bottom>
      <diagonal/>
    </border>
    <border>
      <left/>
      <right/>
      <top style="thin">
        <color rgb="FF4472C4"/>
      </top>
      <bottom style="double">
        <color rgb="FF4472C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double">
        <color theme="8"/>
      </bottom>
      <diagonal/>
    </border>
    <border>
      <left style="thin">
        <color theme="8"/>
      </left>
      <right style="thin">
        <color theme="8"/>
      </right>
      <top/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rgb="FF4472C4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thin">
        <color rgb="FF4472C4"/>
      </bottom>
      <diagonal/>
    </border>
  </borders>
  <cellStyleXfs count="7">
    <xf numFmtId="0" fontId="0" fillId="0" borderId="0"/>
    <xf numFmtId="43" fontId="33" fillId="0" borderId="0" applyFont="0" applyFill="0" applyBorder="0" applyAlignment="0" applyProtection="0"/>
    <xf numFmtId="44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34" fillId="0" borderId="0"/>
    <xf numFmtId="0" fontId="35" fillId="0" borderId="0"/>
  </cellStyleXfs>
  <cellXfs count="322">
    <xf numFmtId="0" fontId="0" fillId="0" borderId="0" xfId="0"/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left" indent="1"/>
    </xf>
    <xf numFmtId="0" fontId="1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top" indent="1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left" indent="1"/>
    </xf>
    <xf numFmtId="0" fontId="3" fillId="0" borderId="1" xfId="0" applyFont="1" applyBorder="1" applyAlignment="1">
      <alignment horizontal="center"/>
    </xf>
    <xf numFmtId="3" fontId="3" fillId="0" borderId="1" xfId="0" applyNumberFormat="1" applyFont="1" applyBorder="1" applyAlignment="1">
      <alignment horizontal="left" indent="1"/>
    </xf>
    <xf numFmtId="0" fontId="4" fillId="0" borderId="0" xfId="0" applyFont="1" applyAlignment="1">
      <alignment horizontal="center"/>
    </xf>
    <xf numFmtId="3" fontId="4" fillId="0" borderId="0" xfId="0" applyNumberFormat="1" applyFont="1" applyAlignment="1">
      <alignment horizontal="left" indent="1"/>
    </xf>
    <xf numFmtId="0" fontId="0" fillId="2" borderId="0" xfId="0" applyFill="1" applyAlignment="1">
      <alignment horizontal="center"/>
    </xf>
    <xf numFmtId="3" fontId="0" fillId="2" borderId="0" xfId="0" applyNumberFormat="1" applyFill="1" applyAlignment="1">
      <alignment horizontal="left" indent="1"/>
    </xf>
    <xf numFmtId="0" fontId="0" fillId="2" borderId="0" xfId="0" applyFill="1"/>
    <xf numFmtId="0" fontId="2" fillId="2" borderId="0" xfId="0" applyFont="1" applyFill="1" applyAlignment="1">
      <alignment vertical="top"/>
    </xf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0" applyFont="1"/>
    <xf numFmtId="164" fontId="8" fillId="3" borderId="2" xfId="0" applyNumberFormat="1" applyFont="1" applyFill="1" applyBorder="1" applyAlignment="1">
      <alignment vertical="center"/>
    </xf>
    <xf numFmtId="0" fontId="8" fillId="3" borderId="2" xfId="1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10" fontId="9" fillId="0" borderId="2" xfId="3" applyNumberFormat="1" applyFont="1" applyBorder="1" applyAlignment="1">
      <alignment horizontal="center" vertical="center"/>
    </xf>
    <xf numFmtId="2" fontId="9" fillId="0" borderId="2" xfId="3" applyNumberFormat="1" applyFont="1" applyFill="1" applyBorder="1" applyAlignment="1">
      <alignment horizontal="center" vertical="center"/>
    </xf>
    <xf numFmtId="2" fontId="9" fillId="0" borderId="2" xfId="3" applyNumberFormat="1" applyFont="1" applyBorder="1" applyAlignment="1">
      <alignment horizontal="center" vertical="center"/>
    </xf>
    <xf numFmtId="165" fontId="9" fillId="0" borderId="2" xfId="3" applyNumberFormat="1" applyFont="1" applyBorder="1" applyAlignment="1">
      <alignment horizontal="center" vertical="center"/>
    </xf>
    <xf numFmtId="2" fontId="9" fillId="0" borderId="2" xfId="0" applyNumberFormat="1" applyFont="1" applyBorder="1" applyAlignment="1">
      <alignment horizontal="center" vertical="center"/>
    </xf>
    <xf numFmtId="164" fontId="8" fillId="3" borderId="2" xfId="0" applyNumberFormat="1" applyFont="1" applyFill="1" applyBorder="1"/>
    <xf numFmtId="0" fontId="8" fillId="3" borderId="2" xfId="1" applyNumberFormat="1" applyFont="1" applyFill="1" applyBorder="1" applyAlignment="1">
      <alignment horizontal="center"/>
    </xf>
    <xf numFmtId="0" fontId="12" fillId="0" borderId="2" xfId="0" applyFont="1" applyBorder="1"/>
    <xf numFmtId="166" fontId="13" fillId="0" borderId="2" xfId="0" applyNumberFormat="1" applyFont="1" applyBorder="1"/>
    <xf numFmtId="165" fontId="13" fillId="0" borderId="2" xfId="2" applyNumberFormat="1" applyFont="1" applyBorder="1" applyAlignment="1">
      <alignment horizontal="center"/>
    </xf>
    <xf numFmtId="166" fontId="5" fillId="0" borderId="2" xfId="0" applyNumberFormat="1" applyFont="1" applyBorder="1"/>
    <xf numFmtId="165" fontId="5" fillId="0" borderId="2" xfId="2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left" vertical="center"/>
    </xf>
    <xf numFmtId="166" fontId="13" fillId="0" borderId="2" xfId="0" applyNumberFormat="1" applyFont="1" applyBorder="1" applyAlignment="1">
      <alignment horizontal="left" vertical="center"/>
    </xf>
    <xf numFmtId="10" fontId="13" fillId="0" borderId="2" xfId="3" applyNumberFormat="1" applyFont="1" applyBorder="1" applyAlignment="1">
      <alignment horizontal="center"/>
    </xf>
    <xf numFmtId="9" fontId="12" fillId="0" borderId="2" xfId="0" applyNumberFormat="1" applyFont="1" applyBorder="1"/>
    <xf numFmtId="0" fontId="14" fillId="0" borderId="0" xfId="0" applyFont="1"/>
    <xf numFmtId="0" fontId="13" fillId="0" borderId="0" xfId="0" applyFont="1" applyAlignment="1">
      <alignment horizontal="center"/>
    </xf>
    <xf numFmtId="0" fontId="5" fillId="4" borderId="3" xfId="0" applyFont="1" applyFill="1" applyBorder="1"/>
    <xf numFmtId="0" fontId="15" fillId="0" borderId="0" xfId="4"/>
    <xf numFmtId="10" fontId="5" fillId="4" borderId="3" xfId="0" applyNumberFormat="1" applyFont="1" applyFill="1" applyBorder="1"/>
    <xf numFmtId="0" fontId="16" fillId="0" borderId="0" xfId="4" applyFont="1"/>
    <xf numFmtId="167" fontId="5" fillId="0" borderId="0" xfId="0" applyNumberFormat="1" applyFont="1"/>
    <xf numFmtId="165" fontId="5" fillId="4" borderId="3" xfId="0" applyNumberFormat="1" applyFont="1" applyFill="1" applyBorder="1"/>
    <xf numFmtId="10" fontId="5" fillId="4" borderId="3" xfId="3" applyNumberFormat="1" applyFont="1" applyFill="1" applyBorder="1"/>
    <xf numFmtId="10" fontId="5" fillId="0" borderId="0" xfId="3" applyNumberFormat="1" applyFont="1"/>
    <xf numFmtId="9" fontId="5" fillId="4" borderId="3" xfId="0" applyNumberFormat="1" applyFont="1" applyFill="1" applyBorder="1"/>
    <xf numFmtId="0" fontId="13" fillId="0" borderId="0" xfId="0" applyFont="1"/>
    <xf numFmtId="10" fontId="13" fillId="4" borderId="3" xfId="3" applyNumberFormat="1" applyFont="1" applyFill="1" applyBorder="1"/>
    <xf numFmtId="0" fontId="17" fillId="3" borderId="0" xfId="0" applyFont="1" applyFill="1"/>
    <xf numFmtId="168" fontId="18" fillId="3" borderId="0" xfId="0" applyNumberFormat="1" applyFont="1" applyFill="1" applyAlignment="1">
      <alignment horizontal="right"/>
    </xf>
    <xf numFmtId="168" fontId="18" fillId="3" borderId="0" xfId="0" applyNumberFormat="1" applyFont="1" applyFill="1"/>
    <xf numFmtId="165" fontId="5" fillId="0" borderId="0" xfId="0" applyNumberFormat="1" applyFont="1"/>
    <xf numFmtId="165" fontId="5" fillId="0" borderId="4" xfId="0" applyNumberFormat="1" applyFont="1" applyBorder="1"/>
    <xf numFmtId="165" fontId="13" fillId="0" borderId="0" xfId="0" applyNumberFormat="1" applyFont="1"/>
    <xf numFmtId="169" fontId="5" fillId="0" borderId="0" xfId="0" applyNumberFormat="1" applyFont="1"/>
    <xf numFmtId="43" fontId="5" fillId="0" borderId="0" xfId="1" applyFont="1"/>
    <xf numFmtId="164" fontId="5" fillId="0" borderId="0" xfId="0" applyNumberFormat="1" applyFont="1"/>
    <xf numFmtId="10" fontId="13" fillId="0" borderId="0" xfId="0" applyNumberFormat="1" applyFont="1"/>
    <xf numFmtId="165" fontId="13" fillId="0" borderId="0" xfId="1" applyNumberFormat="1" applyFont="1" applyAlignment="1">
      <alignment horizontal="right"/>
    </xf>
    <xf numFmtId="165" fontId="13" fillId="0" borderId="5" xfId="0" applyNumberFormat="1" applyFont="1" applyBorder="1"/>
    <xf numFmtId="10" fontId="13" fillId="0" borderId="5" xfId="3" applyNumberFormat="1" applyFont="1" applyBorder="1" applyAlignment="1">
      <alignment horizontal="right"/>
    </xf>
    <xf numFmtId="9" fontId="5" fillId="0" borderId="0" xfId="3" applyFont="1"/>
    <xf numFmtId="10" fontId="5" fillId="0" borderId="0" xfId="0" applyNumberFormat="1" applyFont="1"/>
    <xf numFmtId="0" fontId="19" fillId="0" borderId="0" xfId="0" applyFont="1"/>
    <xf numFmtId="170" fontId="5" fillId="0" borderId="0" xfId="0" applyNumberFormat="1" applyFont="1"/>
    <xf numFmtId="0" fontId="20" fillId="5" borderId="0" xfId="0" applyFont="1" applyFill="1"/>
    <xf numFmtId="0" fontId="5" fillId="5" borderId="0" xfId="0" applyFont="1" applyFill="1"/>
    <xf numFmtId="0" fontId="21" fillId="3" borderId="6" xfId="0" applyFont="1" applyFill="1" applyBorder="1"/>
    <xf numFmtId="171" fontId="21" fillId="6" borderId="6" xfId="1" applyNumberFormat="1" applyFont="1" applyFill="1" applyBorder="1" applyAlignment="1">
      <alignment horizontal="center"/>
    </xf>
    <xf numFmtId="166" fontId="22" fillId="0" borderId="6" xfId="0" applyNumberFormat="1" applyFont="1" applyBorder="1"/>
    <xf numFmtId="166" fontId="23" fillId="0" borderId="6" xfId="1" applyNumberFormat="1" applyFont="1" applyBorder="1" applyAlignment="1">
      <alignment horizontal="center"/>
    </xf>
    <xf numFmtId="166" fontId="23" fillId="0" borderId="6" xfId="0" applyNumberFormat="1" applyFont="1" applyBorder="1"/>
    <xf numFmtId="165" fontId="23" fillId="0" borderId="6" xfId="1" applyNumberFormat="1" applyFont="1" applyBorder="1" applyAlignment="1">
      <alignment horizontal="center"/>
    </xf>
    <xf numFmtId="165" fontId="22" fillId="0" borderId="6" xfId="1" applyNumberFormat="1" applyFont="1" applyBorder="1" applyAlignment="1">
      <alignment horizontal="center"/>
    </xf>
    <xf numFmtId="165" fontId="23" fillId="0" borderId="6" xfId="0" applyNumberFormat="1" applyFont="1" applyBorder="1" applyAlignment="1">
      <alignment horizontal="center"/>
    </xf>
    <xf numFmtId="165" fontId="22" fillId="0" borderId="6" xfId="0" applyNumberFormat="1" applyFont="1" applyBorder="1" applyAlignment="1">
      <alignment horizontal="center"/>
    </xf>
    <xf numFmtId="165" fontId="22" fillId="0" borderId="7" xfId="0" applyNumberFormat="1" applyFont="1" applyBorder="1" applyAlignment="1">
      <alignment horizontal="center"/>
    </xf>
    <xf numFmtId="165" fontId="5" fillId="5" borderId="0" xfId="0" applyNumberFormat="1" applyFont="1" applyFill="1" applyAlignment="1">
      <alignment horizontal="right"/>
    </xf>
    <xf numFmtId="165" fontId="5" fillId="5" borderId="0" xfId="0" applyNumberFormat="1" applyFont="1" applyFill="1"/>
    <xf numFmtId="166" fontId="23" fillId="0" borderId="6" xfId="0" applyNumberFormat="1" applyFont="1" applyBorder="1" applyAlignment="1">
      <alignment horizontal="center"/>
    </xf>
    <xf numFmtId="0" fontId="13" fillId="5" borderId="0" xfId="0" applyFont="1" applyFill="1"/>
    <xf numFmtId="171" fontId="5" fillId="5" borderId="0" xfId="0" applyNumberFormat="1" applyFont="1" applyFill="1"/>
    <xf numFmtId="5" fontId="8" fillId="6" borderId="6" xfId="1" applyNumberFormat="1" applyFont="1" applyFill="1" applyBorder="1" applyAlignment="1"/>
    <xf numFmtId="0" fontId="8" fillId="6" borderId="6" xfId="1" applyNumberFormat="1" applyFont="1" applyFill="1" applyBorder="1" applyAlignment="1">
      <alignment horizontal="center"/>
    </xf>
    <xf numFmtId="5" fontId="13" fillId="0" borderId="6" xfId="1" applyNumberFormat="1" applyFont="1" applyBorder="1" applyAlignment="1"/>
    <xf numFmtId="166" fontId="5" fillId="0" borderId="6" xfId="2" applyNumberFormat="1" applyFont="1" applyBorder="1" applyAlignment="1">
      <alignment horizontal="center"/>
    </xf>
    <xf numFmtId="166" fontId="13" fillId="0" borderId="6" xfId="2" applyNumberFormat="1" applyFont="1" applyBorder="1" applyAlignment="1">
      <alignment horizontal="center"/>
    </xf>
    <xf numFmtId="5" fontId="5" fillId="0" borderId="6" xfId="1" applyNumberFormat="1" applyFont="1" applyBorder="1" applyAlignment="1"/>
    <xf numFmtId="165" fontId="5" fillId="0" borderId="6" xfId="2" applyNumberFormat="1" applyFont="1" applyBorder="1" applyAlignment="1">
      <alignment horizontal="center"/>
    </xf>
    <xf numFmtId="0" fontId="13" fillId="0" borderId="6" xfId="0" applyFont="1" applyBorder="1" applyAlignment="1">
      <alignment horizontal="left" vertical="center" wrapText="1"/>
    </xf>
    <xf numFmtId="0" fontId="5" fillId="0" borderId="6" xfId="0" applyFont="1" applyBorder="1"/>
    <xf numFmtId="0" fontId="13" fillId="0" borderId="6" xfId="0" applyFont="1" applyBorder="1"/>
    <xf numFmtId="165" fontId="13" fillId="0" borderId="7" xfId="2" applyNumberFormat="1" applyFont="1" applyBorder="1" applyAlignment="1">
      <alignment horizontal="center"/>
    </xf>
    <xf numFmtId="165" fontId="5" fillId="0" borderId="8" xfId="2" applyNumberFormat="1" applyFont="1" applyBorder="1" applyAlignment="1">
      <alignment horizontal="center"/>
    </xf>
    <xf numFmtId="165" fontId="13" fillId="0" borderId="6" xfId="2" applyNumberFormat="1" applyFont="1" applyBorder="1" applyAlignment="1">
      <alignment horizontal="center"/>
    </xf>
    <xf numFmtId="165" fontId="5" fillId="5" borderId="0" xfId="2" applyNumberFormat="1" applyFont="1" applyFill="1" applyAlignment="1">
      <alignment horizontal="center"/>
    </xf>
    <xf numFmtId="165" fontId="5" fillId="5" borderId="0" xfId="1" applyNumberFormat="1" applyFont="1" applyFill="1" applyAlignment="1">
      <alignment horizontal="center"/>
    </xf>
    <xf numFmtId="169" fontId="5" fillId="5" borderId="0" xfId="0" applyNumberFormat="1" applyFont="1" applyFill="1"/>
    <xf numFmtId="0" fontId="20" fillId="0" borderId="0" xfId="0" applyFont="1"/>
    <xf numFmtId="164" fontId="8" fillId="6" borderId="6" xfId="0" applyNumberFormat="1" applyFont="1" applyFill="1" applyBorder="1"/>
    <xf numFmtId="166" fontId="13" fillId="0" borderId="6" xfId="0" applyNumberFormat="1" applyFont="1" applyBorder="1"/>
    <xf numFmtId="166" fontId="5" fillId="0" borderId="6" xfId="0" applyNumberFormat="1" applyFont="1" applyBorder="1"/>
    <xf numFmtId="166" fontId="5" fillId="0" borderId="6" xfId="0" applyNumberFormat="1" applyFont="1" applyBorder="1" applyAlignment="1">
      <alignment horizontal="left" vertical="center"/>
    </xf>
    <xf numFmtId="165" fontId="13" fillId="0" borderId="9" xfId="2" applyNumberFormat="1" applyFont="1" applyBorder="1" applyAlignment="1">
      <alignment horizontal="center"/>
    </xf>
    <xf numFmtId="166" fontId="13" fillId="0" borderId="6" xfId="0" applyNumberFormat="1" applyFont="1" applyBorder="1" applyAlignment="1">
      <alignment wrapText="1"/>
    </xf>
    <xf numFmtId="172" fontId="13" fillId="0" borderId="8" xfId="2" applyNumberFormat="1" applyFont="1" applyBorder="1" applyAlignment="1">
      <alignment horizontal="center"/>
    </xf>
    <xf numFmtId="166" fontId="24" fillId="0" borderId="6" xfId="0" applyNumberFormat="1" applyFont="1" applyBorder="1" applyAlignment="1">
      <alignment wrapText="1"/>
    </xf>
    <xf numFmtId="10" fontId="24" fillId="0" borderId="6" xfId="3" applyNumberFormat="1" applyFont="1" applyBorder="1" applyAlignment="1">
      <alignment horizontal="center"/>
    </xf>
    <xf numFmtId="173" fontId="5" fillId="5" borderId="0" xfId="3" applyNumberFormat="1" applyFont="1" applyFill="1"/>
    <xf numFmtId="0" fontId="25" fillId="5" borderId="0" xfId="0" applyFont="1" applyFill="1"/>
    <xf numFmtId="165" fontId="5" fillId="5" borderId="0" xfId="1" applyNumberFormat="1" applyFont="1" applyFill="1" applyAlignment="1">
      <alignment horizontal="left"/>
    </xf>
    <xf numFmtId="165" fontId="5" fillId="5" borderId="0" xfId="0" applyNumberFormat="1" applyFont="1" applyFill="1" applyAlignment="1">
      <alignment horizontal="left"/>
    </xf>
    <xf numFmtId="166" fontId="8" fillId="6" borderId="6" xfId="0" applyNumberFormat="1" applyFont="1" applyFill="1" applyBorder="1"/>
    <xf numFmtId="166" fontId="8" fillId="6" borderId="6" xfId="1" applyNumberFormat="1" applyFont="1" applyFill="1" applyBorder="1" applyAlignment="1">
      <alignment horizontal="center"/>
    </xf>
    <xf numFmtId="5" fontId="5" fillId="0" borderId="6" xfId="1" applyNumberFormat="1" applyFont="1" applyBorder="1" applyAlignment="1">
      <alignment horizontal="center"/>
    </xf>
    <xf numFmtId="5" fontId="5" fillId="0" borderId="6" xfId="0" applyNumberFormat="1" applyFont="1" applyBorder="1" applyAlignment="1">
      <alignment horizontal="center"/>
    </xf>
    <xf numFmtId="165" fontId="5" fillId="0" borderId="6" xfId="0" applyNumberFormat="1" applyFont="1" applyBorder="1" applyAlignment="1">
      <alignment horizontal="center" vertical="center"/>
    </xf>
    <xf numFmtId="166" fontId="13" fillId="0" borderId="6" xfId="0" applyNumberFormat="1" applyFont="1" applyBorder="1" applyAlignment="1">
      <alignment horizontal="left" vertical="center"/>
    </xf>
    <xf numFmtId="165" fontId="13" fillId="0" borderId="6" xfId="1" applyNumberFormat="1" applyFont="1" applyBorder="1" applyAlignment="1">
      <alignment horizontal="center"/>
    </xf>
    <xf numFmtId="165" fontId="5" fillId="0" borderId="6" xfId="1" applyNumberFormat="1" applyFont="1" applyBorder="1" applyAlignment="1">
      <alignment horizontal="center"/>
    </xf>
    <xf numFmtId="169" fontId="5" fillId="5" borderId="0" xfId="1" applyNumberFormat="1" applyFont="1" applyFill="1" applyAlignment="1">
      <alignment horizontal="right"/>
    </xf>
    <xf numFmtId="169" fontId="5" fillId="5" borderId="0" xfId="1" applyNumberFormat="1" applyFont="1" applyFill="1" applyAlignment="1">
      <alignment horizontal="left"/>
    </xf>
    <xf numFmtId="169" fontId="5" fillId="5" borderId="0" xfId="0" applyNumberFormat="1" applyFont="1" applyFill="1" applyAlignment="1">
      <alignment horizontal="left"/>
    </xf>
    <xf numFmtId="0" fontId="26" fillId="5" borderId="0" xfId="6" applyFont="1" applyFill="1"/>
    <xf numFmtId="0" fontId="27" fillId="5" borderId="0" xfId="6" applyFont="1" applyFill="1"/>
    <xf numFmtId="0" fontId="28" fillId="5" borderId="0" xfId="6" applyFont="1" applyFill="1"/>
    <xf numFmtId="165" fontId="28" fillId="5" borderId="0" xfId="6" applyNumberFormat="1" applyFont="1" applyFill="1" applyAlignment="1">
      <alignment horizontal="left" vertical="center"/>
    </xf>
    <xf numFmtId="0" fontId="8" fillId="6" borderId="6" xfId="6" applyFont="1" applyFill="1" applyBorder="1"/>
    <xf numFmtId="174" fontId="5" fillId="0" borderId="6" xfId="6" applyNumberFormat="1" applyFont="1" applyBorder="1" applyAlignment="1">
      <alignment wrapText="1"/>
    </xf>
    <xf numFmtId="174" fontId="5" fillId="0" borderId="6" xfId="6" applyNumberFormat="1" applyFont="1" applyBorder="1"/>
    <xf numFmtId="165" fontId="5" fillId="0" borderId="6" xfId="6" applyNumberFormat="1" applyFont="1" applyBorder="1" applyAlignment="1">
      <alignment horizontal="center"/>
    </xf>
    <xf numFmtId="174" fontId="13" fillId="0" borderId="6" xfId="6" applyNumberFormat="1" applyFont="1" applyBorder="1"/>
    <xf numFmtId="10" fontId="5" fillId="0" borderId="6" xfId="3" applyNumberFormat="1" applyFont="1" applyBorder="1" applyAlignment="1">
      <alignment horizontal="center"/>
    </xf>
    <xf numFmtId="9" fontId="28" fillId="5" borderId="0" xfId="3" applyFont="1" applyFill="1"/>
    <xf numFmtId="5" fontId="5" fillId="0" borderId="6" xfId="6" applyNumberFormat="1" applyFont="1" applyBorder="1" applyAlignment="1">
      <alignment horizontal="center"/>
    </xf>
    <xf numFmtId="174" fontId="13" fillId="0" borderId="6" xfId="0" applyNumberFormat="1" applyFont="1" applyBorder="1"/>
    <xf numFmtId="165" fontId="28" fillId="5" borderId="0" xfId="6" applyNumberFormat="1" applyFont="1" applyFill="1"/>
    <xf numFmtId="174" fontId="5" fillId="0" borderId="6" xfId="0" applyNumberFormat="1" applyFont="1" applyBorder="1"/>
    <xf numFmtId="169" fontId="28" fillId="5" borderId="0" xfId="6" applyNumberFormat="1" applyFont="1" applyFill="1"/>
    <xf numFmtId="174" fontId="13" fillId="0" borderId="6" xfId="6" applyNumberFormat="1" applyFont="1" applyBorder="1" applyAlignment="1">
      <alignment horizontal="left" vertical="center" readingOrder="1"/>
    </xf>
    <xf numFmtId="169" fontId="27" fillId="5" borderId="0" xfId="6" applyNumberFormat="1" applyFont="1" applyFill="1"/>
    <xf numFmtId="165" fontId="27" fillId="5" borderId="0" xfId="6" applyNumberFormat="1" applyFont="1" applyFill="1"/>
    <xf numFmtId="169" fontId="28" fillId="5" borderId="0" xfId="6" applyNumberFormat="1" applyFont="1" applyFill="1" applyAlignment="1">
      <alignment horizontal="left" vertical="center"/>
    </xf>
    <xf numFmtId="175" fontId="28" fillId="5" borderId="0" xfId="2" applyNumberFormat="1" applyFont="1" applyFill="1" applyAlignment="1">
      <alignment horizontal="left" vertical="center"/>
    </xf>
    <xf numFmtId="0" fontId="9" fillId="5" borderId="0" xfId="0" applyFont="1" applyFill="1"/>
    <xf numFmtId="171" fontId="5" fillId="5" borderId="0" xfId="1" applyNumberFormat="1" applyFont="1" applyFill="1" applyAlignment="1">
      <alignment horizontal="left"/>
    </xf>
    <xf numFmtId="167" fontId="5" fillId="5" borderId="0" xfId="1" applyNumberFormat="1" applyFont="1" applyFill="1"/>
    <xf numFmtId="165" fontId="5" fillId="5" borderId="0" xfId="1" applyNumberFormat="1" applyFont="1" applyFill="1"/>
    <xf numFmtId="164" fontId="5" fillId="5" borderId="0" xfId="0" applyNumberFormat="1" applyFont="1" applyFill="1"/>
    <xf numFmtId="171" fontId="5" fillId="5" borderId="0" xfId="1" applyNumberFormat="1" applyFont="1" applyFill="1" applyBorder="1" applyAlignment="1">
      <alignment horizontal="left"/>
    </xf>
    <xf numFmtId="176" fontId="5" fillId="5" borderId="0" xfId="1" applyNumberFormat="1" applyFont="1" applyFill="1" applyAlignment="1">
      <alignment horizontal="left"/>
    </xf>
    <xf numFmtId="176" fontId="5" fillId="5" borderId="0" xfId="1" applyNumberFormat="1" applyFont="1" applyFill="1" applyBorder="1" applyAlignment="1">
      <alignment horizontal="left"/>
    </xf>
    <xf numFmtId="169" fontId="13" fillId="0" borderId="8" xfId="2" applyNumberFormat="1" applyFont="1" applyBorder="1" applyAlignment="1">
      <alignment horizontal="center"/>
    </xf>
    <xf numFmtId="164" fontId="5" fillId="5" borderId="0" xfId="0" applyNumberFormat="1" applyFont="1" applyFill="1" applyAlignment="1">
      <alignment wrapText="1"/>
    </xf>
    <xf numFmtId="171" fontId="5" fillId="5" borderId="0" xfId="0" applyNumberFormat="1" applyFont="1" applyFill="1" applyAlignment="1">
      <alignment horizontal="left" wrapText="1"/>
    </xf>
    <xf numFmtId="176" fontId="5" fillId="5" borderId="0" xfId="0" applyNumberFormat="1" applyFont="1" applyFill="1" applyAlignment="1">
      <alignment horizontal="left" wrapText="1"/>
    </xf>
    <xf numFmtId="0" fontId="5" fillId="5" borderId="0" xfId="0" applyFont="1" applyFill="1" applyAlignment="1">
      <alignment wrapText="1"/>
    </xf>
    <xf numFmtId="164" fontId="13" fillId="5" borderId="0" xfId="0" applyNumberFormat="1" applyFont="1" applyFill="1" applyAlignment="1">
      <alignment wrapText="1"/>
    </xf>
    <xf numFmtId="0" fontId="5" fillId="5" borderId="0" xfId="0" applyFont="1" applyFill="1" applyAlignment="1">
      <alignment horizontal="right" wrapText="1"/>
    </xf>
    <xf numFmtId="167" fontId="5" fillId="5" borderId="0" xfId="1" applyNumberFormat="1" applyFont="1" applyFill="1" applyBorder="1"/>
    <xf numFmtId="164" fontId="5" fillId="0" borderId="0" xfId="0" applyNumberFormat="1" applyFont="1" applyAlignment="1">
      <alignment horizontal="left" vertical="center"/>
    </xf>
    <xf numFmtId="9" fontId="5" fillId="0" borderId="0" xfId="3" applyFont="1" applyBorder="1" applyAlignment="1">
      <alignment vertical="center"/>
    </xf>
    <xf numFmtId="165" fontId="5" fillId="0" borderId="0" xfId="3" applyNumberFormat="1" applyFont="1" applyBorder="1" applyAlignment="1">
      <alignment vertical="center"/>
    </xf>
    <xf numFmtId="164" fontId="8" fillId="3" borderId="0" xfId="0" applyNumberFormat="1" applyFont="1" applyFill="1"/>
    <xf numFmtId="9" fontId="5" fillId="5" borderId="0" xfId="3" applyFont="1" applyFill="1" applyBorder="1" applyAlignment="1">
      <alignment horizontal="center"/>
    </xf>
    <xf numFmtId="164" fontId="5" fillId="0" borderId="10" xfId="0" applyNumberFormat="1" applyFont="1" applyBorder="1" applyAlignment="1">
      <alignment horizontal="left" vertical="center"/>
    </xf>
    <xf numFmtId="165" fontId="5" fillId="0" borderId="10" xfId="3" applyNumberFormat="1" applyFont="1" applyBorder="1" applyAlignment="1">
      <alignment horizontal="center" vertical="center"/>
    </xf>
    <xf numFmtId="1" fontId="5" fillId="5" borderId="10" xfId="2" applyNumberFormat="1" applyFont="1" applyFill="1" applyBorder="1" applyAlignment="1">
      <alignment horizontal="center"/>
    </xf>
    <xf numFmtId="0" fontId="8" fillId="6" borderId="6" xfId="1" applyNumberFormat="1" applyFont="1" applyFill="1" applyBorder="1" applyAlignment="1">
      <alignment horizontal="center" vertical="center"/>
    </xf>
    <xf numFmtId="165" fontId="5" fillId="5" borderId="10" xfId="2" applyNumberFormat="1" applyFont="1" applyFill="1" applyBorder="1" applyAlignment="1">
      <alignment horizontal="center"/>
    </xf>
    <xf numFmtId="177" fontId="5" fillId="5" borderId="0" xfId="0" applyNumberFormat="1" applyFont="1" applyFill="1"/>
    <xf numFmtId="164" fontId="8" fillId="6" borderId="6" xfId="0" applyNumberFormat="1" applyFont="1" applyFill="1" applyBorder="1" applyAlignment="1">
      <alignment horizontal="left" vertical="center"/>
    </xf>
    <xf numFmtId="0" fontId="5" fillId="0" borderId="6" xfId="0" applyFont="1" applyBorder="1" applyAlignment="1">
      <alignment horizontal="justify" vertical="center"/>
    </xf>
    <xf numFmtId="165" fontId="28" fillId="0" borderId="6" xfId="2" applyNumberFormat="1" applyFont="1" applyBorder="1" applyAlignment="1">
      <alignment horizontal="center"/>
    </xf>
    <xf numFmtId="0" fontId="5" fillId="0" borderId="6" xfId="0" applyFont="1" applyBorder="1" applyAlignment="1">
      <alignment horizontal="left" vertical="center"/>
    </xf>
    <xf numFmtId="165" fontId="5" fillId="0" borderId="9" xfId="2" applyNumberFormat="1" applyFont="1" applyBorder="1" applyAlignment="1">
      <alignment horizontal="center"/>
    </xf>
    <xf numFmtId="165" fontId="13" fillId="5" borderId="7" xfId="2" applyNumberFormat="1" applyFont="1" applyFill="1" applyBorder="1" applyAlignment="1">
      <alignment horizontal="center"/>
    </xf>
    <xf numFmtId="170" fontId="5" fillId="5" borderId="0" xfId="0" applyNumberFormat="1" applyFont="1" applyFill="1" applyAlignment="1">
      <alignment wrapText="1"/>
    </xf>
    <xf numFmtId="170" fontId="5" fillId="5" borderId="0" xfId="1" applyNumberFormat="1" applyFont="1" applyFill="1" applyBorder="1"/>
    <xf numFmtId="170" fontId="5" fillId="5" borderId="0" xfId="0" applyNumberFormat="1" applyFont="1" applyFill="1"/>
    <xf numFmtId="165" fontId="5" fillId="5" borderId="0" xfId="0" applyNumberFormat="1" applyFont="1" applyFill="1" applyAlignment="1">
      <alignment horizontal="left" vertical="center"/>
    </xf>
    <xf numFmtId="0" fontId="8" fillId="6" borderId="6" xfId="0" applyFont="1" applyFill="1" applyBorder="1"/>
    <xf numFmtId="165" fontId="8" fillId="6" borderId="6" xfId="0" applyNumberFormat="1" applyFont="1" applyFill="1" applyBorder="1" applyAlignment="1">
      <alignment horizontal="center" vertical="center"/>
    </xf>
    <xf numFmtId="165" fontId="5" fillId="0" borderId="6" xfId="0" applyNumberFormat="1" applyFont="1" applyBorder="1" applyAlignment="1">
      <alignment horizontal="center"/>
    </xf>
    <xf numFmtId="0" fontId="5" fillId="5" borderId="0" xfId="0" applyFont="1" applyFill="1" applyAlignment="1">
      <alignment horizontal="right"/>
    </xf>
    <xf numFmtId="170" fontId="5" fillId="5" borderId="0" xfId="0" applyNumberFormat="1" applyFont="1" applyFill="1" applyAlignment="1">
      <alignment horizontal="left" vertical="center"/>
    </xf>
    <xf numFmtId="169" fontId="5" fillId="0" borderId="6" xfId="0" applyNumberFormat="1" applyFont="1" applyBorder="1" applyAlignment="1">
      <alignment horizontal="center"/>
    </xf>
    <xf numFmtId="9" fontId="5" fillId="0" borderId="6" xfId="3" applyFont="1" applyFill="1" applyBorder="1" applyAlignment="1">
      <alignment horizontal="center"/>
    </xf>
    <xf numFmtId="0" fontId="29" fillId="0" borderId="0" xfId="4" applyFont="1"/>
    <xf numFmtId="0" fontId="5" fillId="0" borderId="0" xfId="0" applyFont="1" applyAlignment="1">
      <alignment horizontal="right"/>
    </xf>
    <xf numFmtId="164" fontId="8" fillId="7" borderId="11" xfId="0" applyNumberFormat="1" applyFont="1" applyFill="1" applyBorder="1"/>
    <xf numFmtId="0" fontId="8" fillId="7" borderId="11" xfId="1" applyNumberFormat="1" applyFont="1" applyFill="1" applyBorder="1" applyAlignment="1">
      <alignment horizontal="center"/>
    </xf>
    <xf numFmtId="164" fontId="5" fillId="0" borderId="11" xfId="0" applyNumberFormat="1" applyFont="1" applyBorder="1" applyAlignment="1">
      <alignment horizontal="left" vertical="center"/>
    </xf>
    <xf numFmtId="165" fontId="5" fillId="5" borderId="11" xfId="2" applyNumberFormat="1" applyFont="1" applyFill="1" applyBorder="1" applyAlignment="1">
      <alignment horizontal="center"/>
    </xf>
    <xf numFmtId="178" fontId="20" fillId="0" borderId="0" xfId="0" applyNumberFormat="1" applyFont="1"/>
    <xf numFmtId="164" fontId="8" fillId="6" borderId="6" xfId="0" applyNumberFormat="1" applyFont="1" applyFill="1" applyBorder="1" applyAlignment="1">
      <alignment vertical="center" wrapText="1"/>
    </xf>
    <xf numFmtId="0" fontId="8" fillId="6" borderId="6" xfId="1" applyNumberFormat="1" applyFont="1" applyFill="1" applyBorder="1" applyAlignment="1">
      <alignment horizontal="center" vertical="center" wrapText="1"/>
    </xf>
    <xf numFmtId="1" fontId="5" fillId="0" borderId="6" xfId="0" applyNumberFormat="1" applyFont="1" applyBorder="1" applyAlignment="1">
      <alignment horizontal="left" vertical="center"/>
    </xf>
    <xf numFmtId="165" fontId="5" fillId="0" borderId="6" xfId="3" applyNumberFormat="1" applyFont="1" applyFill="1" applyBorder="1" applyAlignment="1">
      <alignment horizontal="center"/>
    </xf>
    <xf numFmtId="9" fontId="0" fillId="0" borderId="0" xfId="3" applyFont="1"/>
    <xf numFmtId="165" fontId="13" fillId="0" borderId="6" xfId="0" applyNumberFormat="1" applyFont="1" applyBorder="1" applyAlignment="1">
      <alignment horizontal="center"/>
    </xf>
    <xf numFmtId="0" fontId="8" fillId="6" borderId="6" xfId="1" applyNumberFormat="1" applyFont="1" applyFill="1" applyBorder="1" applyAlignment="1">
      <alignment horizontal="left"/>
    </xf>
    <xf numFmtId="1" fontId="5" fillId="0" borderId="6" xfId="3" applyNumberFormat="1" applyFont="1" applyFill="1" applyBorder="1" applyAlignment="1">
      <alignment horizontal="left"/>
    </xf>
    <xf numFmtId="1" fontId="5" fillId="0" borderId="6" xfId="3" applyNumberFormat="1" applyFont="1" applyFill="1" applyBorder="1" applyAlignment="1">
      <alignment horizontal="center"/>
    </xf>
    <xf numFmtId="1" fontId="13" fillId="0" borderId="6" xfId="3" applyNumberFormat="1" applyFont="1" applyFill="1" applyBorder="1" applyAlignment="1">
      <alignment horizontal="left"/>
    </xf>
    <xf numFmtId="1" fontId="13" fillId="0" borderId="6" xfId="3" applyNumberFormat="1" applyFont="1" applyFill="1" applyBorder="1" applyAlignment="1">
      <alignment horizontal="center"/>
    </xf>
    <xf numFmtId="165" fontId="13" fillId="0" borderId="6" xfId="3" applyNumberFormat="1" applyFont="1" applyFill="1" applyBorder="1" applyAlignment="1">
      <alignment horizontal="center"/>
    </xf>
    <xf numFmtId="164" fontId="5" fillId="0" borderId="6" xfId="0" applyNumberFormat="1" applyFont="1" applyBorder="1" applyAlignment="1">
      <alignment horizontal="left" vertical="center"/>
    </xf>
    <xf numFmtId="0" fontId="9" fillId="0" borderId="6" xfId="0" applyFont="1" applyBorder="1" applyAlignment="1">
      <alignment horizontal="justify" vertical="center"/>
    </xf>
    <xf numFmtId="165" fontId="26" fillId="0" borderId="6" xfId="2" applyNumberFormat="1" applyFont="1" applyBorder="1" applyAlignment="1">
      <alignment horizontal="center"/>
    </xf>
    <xf numFmtId="0" fontId="9" fillId="0" borderId="6" xfId="0" applyFont="1" applyBorder="1" applyAlignment="1">
      <alignment horizontal="left" vertical="center"/>
    </xf>
    <xf numFmtId="0" fontId="25" fillId="0" borderId="6" xfId="0" applyFont="1" applyBorder="1"/>
    <xf numFmtId="165" fontId="25" fillId="5" borderId="7" xfId="2" applyNumberFormat="1" applyFont="1" applyFill="1" applyBorder="1" applyAlignment="1">
      <alignment horizontal="center"/>
    </xf>
    <xf numFmtId="0" fontId="9" fillId="0" borderId="0" xfId="0" applyFont="1"/>
    <xf numFmtId="9" fontId="9" fillId="0" borderId="0" xfId="0" applyNumberFormat="1" applyFont="1"/>
    <xf numFmtId="0" fontId="0" fillId="5" borderId="0" xfId="0" applyFill="1"/>
    <xf numFmtId="0" fontId="30" fillId="0" borderId="0" xfId="0" applyFont="1"/>
    <xf numFmtId="0" fontId="31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165" fontId="15" fillId="0" borderId="0" xfId="4" applyNumberFormat="1"/>
    <xf numFmtId="167" fontId="15" fillId="5" borderId="0" xfId="4" applyNumberFormat="1" applyFill="1"/>
    <xf numFmtId="164" fontId="36" fillId="6" borderId="6" xfId="0" applyNumberFormat="1" applyFont="1" applyFill="1" applyBorder="1"/>
    <xf numFmtId="0" fontId="36" fillId="6" borderId="6" xfId="1" applyNumberFormat="1" applyFont="1" applyFill="1" applyBorder="1" applyAlignment="1">
      <alignment horizontal="center"/>
    </xf>
    <xf numFmtId="164" fontId="37" fillId="5" borderId="0" xfId="0" applyNumberFormat="1" applyFont="1" applyFill="1" applyAlignment="1">
      <alignment horizontal="right"/>
    </xf>
    <xf numFmtId="164" fontId="37" fillId="5" borderId="0" xfId="0" applyNumberFormat="1" applyFont="1" applyFill="1"/>
    <xf numFmtId="0" fontId="38" fillId="5" borderId="0" xfId="0" applyFont="1" applyFill="1"/>
    <xf numFmtId="0" fontId="39" fillId="0" borderId="6" xfId="0" applyFont="1" applyBorder="1"/>
    <xf numFmtId="10" fontId="39" fillId="0" borderId="6" xfId="0" applyNumberFormat="1" applyFont="1" applyBorder="1" applyAlignment="1">
      <alignment horizontal="center"/>
    </xf>
    <xf numFmtId="0" fontId="37" fillId="5" borderId="0" xfId="0" applyFont="1" applyFill="1"/>
    <xf numFmtId="0" fontId="37" fillId="5" borderId="0" xfId="0" applyFont="1" applyFill="1" applyAlignment="1">
      <alignment horizontal="right" wrapText="1"/>
    </xf>
    <xf numFmtId="0" fontId="39" fillId="0" borderId="6" xfId="0" applyFont="1" applyBorder="1" applyAlignment="1">
      <alignment horizontal="left" vertical="center"/>
    </xf>
    <xf numFmtId="10" fontId="39" fillId="0" borderId="6" xfId="3" applyNumberFormat="1" applyFont="1" applyFill="1" applyBorder="1" applyAlignment="1">
      <alignment horizontal="center"/>
    </xf>
    <xf numFmtId="167" fontId="40" fillId="5" borderId="0" xfId="1" applyNumberFormat="1" applyFont="1" applyFill="1"/>
    <xf numFmtId="5" fontId="37" fillId="5" borderId="0" xfId="0" applyNumberFormat="1" applyFont="1" applyFill="1" applyAlignment="1">
      <alignment horizontal="right"/>
    </xf>
    <xf numFmtId="5" fontId="39" fillId="0" borderId="0" xfId="3" applyNumberFormat="1" applyFont="1" applyFill="1" applyBorder="1" applyAlignment="1">
      <alignment horizontal="right"/>
    </xf>
    <xf numFmtId="165" fontId="41" fillId="0" borderId="0" xfId="0" applyNumberFormat="1" applyFont="1"/>
    <xf numFmtId="167" fontId="37" fillId="5" borderId="0" xfId="1" applyNumberFormat="1" applyFont="1" applyFill="1"/>
    <xf numFmtId="165" fontId="39" fillId="5" borderId="0" xfId="0" applyNumberFormat="1" applyFont="1" applyFill="1"/>
    <xf numFmtId="164" fontId="42" fillId="5" borderId="0" xfId="0" applyNumberFormat="1" applyFont="1" applyFill="1"/>
    <xf numFmtId="179" fontId="43" fillId="5" borderId="0" xfId="0" applyNumberFormat="1" applyFont="1" applyFill="1"/>
    <xf numFmtId="164" fontId="44" fillId="5" borderId="0" xfId="0" applyNumberFormat="1" applyFont="1" applyFill="1"/>
    <xf numFmtId="164" fontId="45" fillId="5" borderId="0" xfId="0" applyNumberFormat="1" applyFont="1" applyFill="1"/>
    <xf numFmtId="165" fontId="37" fillId="5" borderId="0" xfId="1" applyNumberFormat="1" applyFont="1" applyFill="1" applyAlignment="1">
      <alignment horizontal="left"/>
    </xf>
    <xf numFmtId="0" fontId="36" fillId="6" borderId="6" xfId="1" applyNumberFormat="1" applyFont="1" applyFill="1" applyBorder="1" applyAlignment="1">
      <alignment horizontal="center" vertical="center"/>
    </xf>
    <xf numFmtId="164" fontId="47" fillId="0" borderId="6" xfId="0" applyNumberFormat="1" applyFont="1" applyBorder="1" applyAlignment="1">
      <alignment horizontal="left" vertical="center"/>
    </xf>
    <xf numFmtId="9" fontId="47" fillId="0" borderId="6" xfId="3" applyFont="1" applyFill="1" applyBorder="1" applyAlignment="1">
      <alignment horizontal="center"/>
    </xf>
    <xf numFmtId="167" fontId="48" fillId="0" borderId="0" xfId="0" applyNumberFormat="1" applyFont="1"/>
    <xf numFmtId="178" fontId="47" fillId="0" borderId="6" xfId="3" applyNumberFormat="1" applyFont="1" applyFill="1" applyBorder="1" applyAlignment="1">
      <alignment horizontal="center"/>
    </xf>
    <xf numFmtId="164" fontId="39" fillId="0" borderId="6" xfId="0" applyNumberFormat="1" applyFont="1" applyBorder="1" applyAlignment="1">
      <alignment horizontal="left" vertical="center"/>
    </xf>
    <xf numFmtId="165" fontId="47" fillId="0" borderId="6" xfId="3" applyNumberFormat="1" applyFont="1" applyFill="1" applyBorder="1" applyAlignment="1">
      <alignment horizontal="center"/>
    </xf>
    <xf numFmtId="179" fontId="37" fillId="5" borderId="0" xfId="0" applyNumberFormat="1" applyFont="1" applyFill="1"/>
    <xf numFmtId="0" fontId="47" fillId="0" borderId="6" xfId="0" applyFont="1" applyBorder="1"/>
    <xf numFmtId="164" fontId="36" fillId="6" borderId="6" xfId="0" applyNumberFormat="1" applyFont="1" applyFill="1" applyBorder="1" applyAlignment="1">
      <alignment vertical="center" wrapText="1"/>
    </xf>
    <xf numFmtId="0" fontId="36" fillId="6" borderId="6" xfId="1" applyNumberFormat="1" applyFont="1" applyFill="1" applyBorder="1" applyAlignment="1">
      <alignment horizontal="center" vertical="center" wrapText="1"/>
    </xf>
    <xf numFmtId="1" fontId="47" fillId="0" borderId="6" xfId="0" applyNumberFormat="1" applyFont="1" applyBorder="1" applyAlignment="1">
      <alignment horizontal="left" vertical="center"/>
    </xf>
    <xf numFmtId="0" fontId="47" fillId="0" borderId="6" xfId="3" applyNumberFormat="1" applyFont="1" applyFill="1" applyBorder="1" applyAlignment="1">
      <alignment horizontal="center"/>
    </xf>
    <xf numFmtId="1" fontId="39" fillId="0" borderId="6" xfId="0" applyNumberFormat="1" applyFont="1" applyBorder="1" applyAlignment="1">
      <alignment horizontal="left" vertical="center"/>
    </xf>
    <xf numFmtId="165" fontId="39" fillId="0" borderId="6" xfId="3" applyNumberFormat="1" applyFont="1" applyFill="1" applyBorder="1" applyAlignment="1">
      <alignment horizontal="center"/>
    </xf>
    <xf numFmtId="0" fontId="39" fillId="0" borderId="6" xfId="3" applyNumberFormat="1" applyFont="1" applyFill="1" applyBorder="1" applyAlignment="1">
      <alignment horizontal="center"/>
    </xf>
    <xf numFmtId="0" fontId="48" fillId="0" borderId="6" xfId="0" applyFont="1" applyBorder="1"/>
    <xf numFmtId="165" fontId="48" fillId="0" borderId="6" xfId="0" applyNumberFormat="1" applyFont="1" applyBorder="1" applyAlignment="1">
      <alignment horizontal="center"/>
    </xf>
    <xf numFmtId="0" fontId="48" fillId="0" borderId="6" xfId="0" applyFont="1" applyBorder="1" applyAlignment="1">
      <alignment horizontal="center"/>
    </xf>
    <xf numFmtId="0" fontId="39" fillId="0" borderId="0" xfId="0" applyFont="1"/>
    <xf numFmtId="10" fontId="47" fillId="0" borderId="0" xfId="0" applyNumberFormat="1" applyFont="1"/>
    <xf numFmtId="0" fontId="47" fillId="0" borderId="0" xfId="0" applyFont="1"/>
    <xf numFmtId="164" fontId="36" fillId="6" borderId="6" xfId="0" applyNumberFormat="1" applyFont="1" applyFill="1" applyBorder="1" applyAlignment="1">
      <alignment horizontal="left" vertical="center"/>
    </xf>
    <xf numFmtId="0" fontId="39" fillId="0" borderId="6" xfId="0" applyFont="1" applyBorder="1" applyAlignment="1">
      <alignment horizontal="justify" vertical="center"/>
    </xf>
    <xf numFmtId="178" fontId="37" fillId="5" borderId="0" xfId="0" applyNumberFormat="1" applyFont="1" applyFill="1"/>
    <xf numFmtId="165" fontId="43" fillId="5" borderId="0" xfId="0" applyNumberFormat="1" applyFont="1" applyFill="1"/>
    <xf numFmtId="165" fontId="46" fillId="5" borderId="0" xfId="0" applyNumberFormat="1" applyFont="1" applyFill="1"/>
    <xf numFmtId="165" fontId="49" fillId="0" borderId="6" xfId="3" applyNumberFormat="1" applyFont="1" applyBorder="1" applyAlignment="1">
      <alignment horizontal="center"/>
    </xf>
    <xf numFmtId="165" fontId="49" fillId="0" borderId="9" xfId="3" applyNumberFormat="1" applyFont="1" applyBorder="1" applyAlignment="1">
      <alignment horizontal="center"/>
    </xf>
    <xf numFmtId="165" fontId="48" fillId="5" borderId="7" xfId="2" applyNumberFormat="1" applyFont="1" applyFill="1" applyBorder="1" applyAlignment="1">
      <alignment horizontal="center"/>
    </xf>
    <xf numFmtId="166" fontId="39" fillId="0" borderId="6" xfId="0" applyNumberFormat="1" applyFont="1" applyBorder="1"/>
    <xf numFmtId="165" fontId="39" fillId="0" borderId="6" xfId="2" applyNumberFormat="1" applyFont="1" applyBorder="1" applyAlignment="1">
      <alignment horizontal="center"/>
    </xf>
    <xf numFmtId="166" fontId="39" fillId="0" borderId="2" xfId="0" applyNumberFormat="1" applyFont="1" applyBorder="1"/>
    <xf numFmtId="165" fontId="39" fillId="0" borderId="2" xfId="2" applyNumberFormat="1" applyFont="1" applyBorder="1" applyAlignment="1">
      <alignment horizontal="center"/>
    </xf>
    <xf numFmtId="0" fontId="39" fillId="5" borderId="0" xfId="0" applyFont="1" applyFill="1"/>
    <xf numFmtId="164" fontId="15" fillId="5" borderId="0" xfId="4" applyNumberFormat="1" applyFill="1" applyAlignment="1">
      <alignment horizontal="left"/>
    </xf>
    <xf numFmtId="10" fontId="5" fillId="0" borderId="10" xfId="3" applyNumberFormat="1" applyFont="1" applyBorder="1" applyAlignment="1">
      <alignment horizontal="center" vertical="center"/>
    </xf>
    <xf numFmtId="164" fontId="36" fillId="3" borderId="0" xfId="0" applyNumberFormat="1" applyFont="1" applyFill="1"/>
    <xf numFmtId="164" fontId="39" fillId="0" borderId="10" xfId="0" applyNumberFormat="1" applyFont="1" applyBorder="1" applyAlignment="1">
      <alignment horizontal="left" vertical="center"/>
    </xf>
    <xf numFmtId="9" fontId="15" fillId="0" borderId="0" xfId="4" applyNumberFormat="1" applyBorder="1" applyAlignment="1">
      <alignment vertical="center"/>
    </xf>
    <xf numFmtId="164" fontId="0" fillId="0" borderId="0" xfId="0" applyNumberFormat="1"/>
    <xf numFmtId="164" fontId="15" fillId="5" borderId="0" xfId="4" applyNumberFormat="1" applyFill="1"/>
    <xf numFmtId="165" fontId="5" fillId="5" borderId="0" xfId="2" applyNumberFormat="1" applyFont="1" applyFill="1" applyBorder="1" applyAlignment="1">
      <alignment horizontal="center"/>
    </xf>
    <xf numFmtId="164" fontId="48" fillId="5" borderId="0" xfId="0" applyNumberFormat="1" applyFont="1" applyFill="1"/>
    <xf numFmtId="165" fontId="48" fillId="5" borderId="0" xfId="1" applyNumberFormat="1" applyFont="1" applyFill="1" applyAlignment="1">
      <alignment horizontal="left"/>
    </xf>
    <xf numFmtId="167" fontId="48" fillId="5" borderId="0" xfId="1" applyNumberFormat="1" applyFont="1" applyFill="1"/>
    <xf numFmtId="0" fontId="48" fillId="5" borderId="0" xfId="0" applyFont="1" applyFill="1"/>
    <xf numFmtId="165" fontId="47" fillId="0" borderId="0" xfId="0" applyNumberFormat="1" applyFont="1"/>
    <xf numFmtId="9" fontId="49" fillId="0" borderId="9" xfId="3" applyFont="1" applyBorder="1" applyAlignment="1">
      <alignment horizontal="center"/>
    </xf>
    <xf numFmtId="165" fontId="50" fillId="5" borderId="12" xfId="1" applyNumberFormat="1" applyFont="1" applyFill="1" applyBorder="1" applyAlignment="1">
      <alignment horizontal="center" vertical="center"/>
    </xf>
    <xf numFmtId="164" fontId="50" fillId="5" borderId="12" xfId="0" applyNumberFormat="1" applyFont="1" applyFill="1" applyBorder="1"/>
    <xf numFmtId="0" fontId="51" fillId="5" borderId="0" xfId="0" applyFont="1" applyFill="1"/>
    <xf numFmtId="164" fontId="36" fillId="3" borderId="0" xfId="0" applyNumberFormat="1" applyFont="1" applyFill="1" applyAlignment="1">
      <alignment horizontal="center"/>
    </xf>
    <xf numFmtId="43" fontId="5" fillId="0" borderId="0" xfId="1" applyFont="1" applyBorder="1" applyAlignment="1">
      <alignment vertical="center"/>
    </xf>
    <xf numFmtId="164" fontId="39" fillId="5" borderId="6" xfId="0" applyNumberFormat="1" applyFont="1" applyFill="1" applyBorder="1" applyAlignment="1">
      <alignment horizontal="left" vertical="center"/>
    </xf>
    <xf numFmtId="165" fontId="39" fillId="5" borderId="6" xfId="1" applyNumberFormat="1" applyFont="1" applyFill="1" applyBorder="1" applyAlignment="1">
      <alignment horizontal="center" vertical="center"/>
    </xf>
    <xf numFmtId="9" fontId="39" fillId="5" borderId="6" xfId="3" applyFont="1" applyFill="1" applyBorder="1" applyAlignment="1">
      <alignment horizontal="center" vertical="center"/>
    </xf>
    <xf numFmtId="9" fontId="48" fillId="5" borderId="6" xfId="3" applyFont="1" applyFill="1" applyBorder="1" applyAlignment="1">
      <alignment horizontal="center" vertical="center"/>
    </xf>
    <xf numFmtId="164" fontId="50" fillId="5" borderId="13" xfId="0" applyNumberFormat="1" applyFont="1" applyFill="1" applyBorder="1"/>
    <xf numFmtId="165" fontId="50" fillId="5" borderId="13" xfId="1" applyNumberFormat="1" applyFont="1" applyFill="1" applyBorder="1" applyAlignment="1">
      <alignment horizontal="center" vertical="center"/>
    </xf>
    <xf numFmtId="164" fontId="48" fillId="5" borderId="6" xfId="0" applyNumberFormat="1" applyFont="1" applyFill="1" applyBorder="1" applyAlignment="1">
      <alignment horizontal="left" vertical="center"/>
    </xf>
    <xf numFmtId="166" fontId="48" fillId="0" borderId="6" xfId="0" applyNumberFormat="1" applyFont="1" applyBorder="1"/>
    <xf numFmtId="165" fontId="48" fillId="0" borderId="6" xfId="2" applyNumberFormat="1" applyFont="1" applyBorder="1" applyAlignment="1">
      <alignment horizontal="center"/>
    </xf>
    <xf numFmtId="0" fontId="52" fillId="0" borderId="0" xfId="0" applyFont="1"/>
    <xf numFmtId="164" fontId="52" fillId="0" borderId="0" xfId="0" applyNumberFormat="1" applyFont="1"/>
    <xf numFmtId="166" fontId="53" fillId="0" borderId="6" xfId="0" applyNumberFormat="1" applyFont="1" applyBorder="1"/>
    <xf numFmtId="0" fontId="12" fillId="0" borderId="0" xfId="0" applyFont="1"/>
    <xf numFmtId="9" fontId="12" fillId="0" borderId="0" xfId="0" applyNumberFormat="1" applyFont="1"/>
    <xf numFmtId="10" fontId="48" fillId="5" borderId="6" xfId="3" applyNumberFormat="1" applyFont="1" applyFill="1" applyBorder="1" applyAlignment="1">
      <alignment horizontal="center" vertical="center"/>
    </xf>
    <xf numFmtId="164" fontId="54" fillId="5" borderId="0" xfId="0" applyNumberFormat="1" applyFont="1" applyFill="1"/>
    <xf numFmtId="164" fontId="55" fillId="3" borderId="0" xfId="0" applyNumberFormat="1" applyFont="1" applyFill="1"/>
    <xf numFmtId="0" fontId="36" fillId="6" borderId="9" xfId="1" applyNumberFormat="1" applyFont="1" applyFill="1" applyBorder="1" applyAlignment="1">
      <alignment horizontal="center" vertical="center"/>
    </xf>
    <xf numFmtId="165" fontId="55" fillId="6" borderId="0" xfId="1" applyNumberFormat="1" applyFont="1" applyFill="1" applyBorder="1" applyAlignment="1">
      <alignment horizontal="center" vertical="center"/>
    </xf>
    <xf numFmtId="165" fontId="37" fillId="5" borderId="0" xfId="0" applyNumberFormat="1" applyFont="1" applyFill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7">
    <cellStyle name="Comma" xfId="1" builtinId="3"/>
    <cellStyle name="Currency" xfId="2" builtinId="4"/>
    <cellStyle name="Excel Built-in Normal" xfId="5" xr:uid="{00000000-0005-0000-0000-000002000000}"/>
    <cellStyle name="Hyperlink" xfId="4" builtinId="8"/>
    <cellStyle name="Normal" xfId="0" builtinId="0"/>
    <cellStyle name="Normal 2" xfId="6" xr:uid="{00000000-0005-0000-0000-000005000000}"/>
    <cellStyle name="Percent" xfId="3" builtinId="5"/>
  </cellStyles>
  <dxfs count="0"/>
  <tableStyles count="0" defaultTableStyle="TableStyleMedium2" defaultPivotStyle="PivotStyleLight16"/>
  <colors>
    <mruColors>
      <color rgb="FF4472C4"/>
      <color rgb="FF2744D7"/>
      <color rgb="FF9700CC"/>
      <color rgb="FF2B5AC3"/>
      <color rgb="FF4D65DF"/>
      <color rgb="FF87E6F9"/>
      <color rgb="FF12E2EC"/>
      <color rgb="FF55CBD7"/>
      <color rgb="FF4FCFDD"/>
      <color rgb="FF97E3E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Use of Proceeds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'Use of Proceeds'!$A$18:$A$20</c:f>
              <c:strCache>
                <c:ptCount val="3"/>
                <c:pt idx="0">
                  <c:v>Assets to Fund</c:v>
                </c:pt>
                <c:pt idx="1">
                  <c:v>Expenses to Fund</c:v>
                </c:pt>
                <c:pt idx="2">
                  <c:v>Total Investment</c:v>
                </c:pt>
              </c:strCache>
            </c:strRef>
          </c:cat>
          <c:val>
            <c:numRef>
              <c:f>'Use of Proceeds'!$B$18:$B$20</c:f>
              <c:numCache>
                <c:formatCode>"$"#,##0</c:formatCode>
                <c:ptCount val="3"/>
                <c:pt idx="0">
                  <c:v>8600000</c:v>
                </c:pt>
                <c:pt idx="1">
                  <c:v>1400000</c:v>
                </c:pt>
                <c:pt idx="2">
                  <c:v>10000000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04-4AF4-A754-5F4F5E5ED5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2165200"/>
        <c:axId val="112167920"/>
      </c:barChart>
      <c:catAx>
        <c:axId val="112165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67920"/>
        <c:crosses val="autoZero"/>
        <c:auto val="1"/>
        <c:lblAlgn val="r"/>
        <c:lblOffset val="100"/>
        <c:noMultiLvlLbl val="0"/>
      </c:catAx>
      <c:valAx>
        <c:axId val="112167920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65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Revenue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'Income Statement'!$B$3:$F$3</c:f>
              <c:strCache>
                <c:ptCount val="5"/>
                <c:pt idx="0">
                  <c:v>$3,725,408</c:v>
                </c:pt>
                <c:pt idx="1">
                  <c:v>$11,220,281</c:v>
                </c:pt>
                <c:pt idx="2">
                  <c:v>$25,019,725</c:v>
                </c:pt>
                <c:pt idx="3">
                  <c:v>$44,931,831</c:v>
                </c:pt>
                <c:pt idx="4">
                  <c:v>$80,691,112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'Income Statement'!$B$2:$F$2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'Income Statement'!$B$3:$F$3</c:f>
              <c:numCache>
                <c:formatCode>"$"#,##0</c:formatCode>
                <c:ptCount val="5"/>
                <c:pt idx="0">
                  <c:v>3725407.7599040661</c:v>
                </c:pt>
                <c:pt idx="1">
                  <c:v>11220280.877145521</c:v>
                </c:pt>
                <c:pt idx="2">
                  <c:v>25019724.549606074</c:v>
                </c:pt>
                <c:pt idx="3">
                  <c:v>44931830.607741259</c:v>
                </c:pt>
                <c:pt idx="4">
                  <c:v>80691112.236666903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6D-4FD3-837F-8C35E07733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2159216"/>
        <c:axId val="112162480"/>
      </c:barChart>
      <c:catAx>
        <c:axId val="112159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62480"/>
        <c:crosses val="autoZero"/>
        <c:auto val="1"/>
        <c:lblAlgn val="r"/>
        <c:lblOffset val="100"/>
        <c:noMultiLvlLbl val="0"/>
      </c:catAx>
      <c:valAx>
        <c:axId val="112162480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592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Net Income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'Income Statement'!$B$2:$F$2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'Income Statement'!$B$31:$F$31</c:f>
              <c:numCache>
                <c:formatCode>"$"#,##0</c:formatCode>
                <c:ptCount val="5"/>
                <c:pt idx="0">
                  <c:v>419894.20819452702</c:v>
                </c:pt>
                <c:pt idx="1">
                  <c:v>3122329.2637812458</c:v>
                </c:pt>
                <c:pt idx="2">
                  <c:v>8326509.6145667545</c:v>
                </c:pt>
                <c:pt idx="3">
                  <c:v>15610395.714085052</c:v>
                </c:pt>
                <c:pt idx="4">
                  <c:v>28457406.475837495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28-4336-B7A3-EF661582DE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2158128"/>
        <c:axId val="112160848"/>
      </c:barChart>
      <c:catAx>
        <c:axId val="112158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60848"/>
        <c:crosses val="autoZero"/>
        <c:auto val="1"/>
        <c:lblAlgn val="r"/>
        <c:lblOffset val="100"/>
        <c:noMultiLvlLbl val="0"/>
      </c:catAx>
      <c:valAx>
        <c:axId val="112160848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58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Expenses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'Income Statement'!$B$2:$F$2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'Income Statement'!$B$17:$F$17</c:f>
              <c:numCache>
                <c:formatCode>"$"#,##0</c:formatCode>
                <c:ptCount val="5"/>
                <c:pt idx="0">
                  <c:v>1831011.5431932847</c:v>
                </c:pt>
                <c:pt idx="1">
                  <c:v>2897165.56973352</c:v>
                </c:pt>
                <c:pt idx="2">
                  <c:v>4897727.5959724262</c:v>
                </c:pt>
                <c:pt idx="3">
                  <c:v>8069987.5399585553</c:v>
                </c:pt>
                <c:pt idx="4">
                  <c:v>14062862.739661682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E7-48FF-A32A-9E3F493F1B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2154864"/>
        <c:axId val="112155952"/>
      </c:barChart>
      <c:catAx>
        <c:axId val="112154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55952"/>
        <c:crosses val="autoZero"/>
        <c:auto val="1"/>
        <c:lblAlgn val="r"/>
        <c:lblOffset val="100"/>
        <c:noMultiLvlLbl val="0"/>
      </c:catAx>
      <c:valAx>
        <c:axId val="112155952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54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Monthly Revenue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'Monthly Income Statement '!$B$3:$BI$3</c:f>
              <c:strCache>
                <c:ptCount val="60"/>
                <c:pt idx="0">
                  <c:v>$262,500</c:v>
                </c:pt>
                <c:pt idx="1">
                  <c:v>$270,375</c:v>
                </c:pt>
                <c:pt idx="2">
                  <c:v>$278,486</c:v>
                </c:pt>
                <c:pt idx="3">
                  <c:v>$286,841</c:v>
                </c:pt>
                <c:pt idx="4">
                  <c:v>$295,446</c:v>
                </c:pt>
                <c:pt idx="5">
                  <c:v>$304,309</c:v>
                </c:pt>
                <c:pt idx="6">
                  <c:v>$313,439</c:v>
                </c:pt>
                <c:pt idx="7">
                  <c:v>$322,842</c:v>
                </c:pt>
                <c:pt idx="8">
                  <c:v>$332,527</c:v>
                </c:pt>
                <c:pt idx="9">
                  <c:v>$342,503</c:v>
                </c:pt>
                <c:pt idx="10">
                  <c:v>$352,778</c:v>
                </c:pt>
                <c:pt idx="11">
                  <c:v>$363,361</c:v>
                </c:pt>
                <c:pt idx="12">
                  <c:v>$524,698</c:v>
                </c:pt>
                <c:pt idx="13">
                  <c:v>$577,167</c:v>
                </c:pt>
                <c:pt idx="14">
                  <c:v>$634,884</c:v>
                </c:pt>
                <c:pt idx="15">
                  <c:v>$698,372</c:v>
                </c:pt>
                <c:pt idx="16">
                  <c:v>$768,210</c:v>
                </c:pt>
                <c:pt idx="17">
                  <c:v>$845,031</c:v>
                </c:pt>
                <c:pt idx="18">
                  <c:v>$929,534</c:v>
                </c:pt>
                <c:pt idx="19">
                  <c:v>$1,022,487</c:v>
                </c:pt>
                <c:pt idx="20">
                  <c:v>$1,124,736</c:v>
                </c:pt>
                <c:pt idx="21">
                  <c:v>$1,237,209</c:v>
                </c:pt>
                <c:pt idx="22">
                  <c:v>$1,360,930</c:v>
                </c:pt>
                <c:pt idx="23">
                  <c:v>$1,497,023</c:v>
                </c:pt>
                <c:pt idx="24">
                  <c:v>$1,571,874</c:v>
                </c:pt>
                <c:pt idx="25">
                  <c:v>$1,650,468</c:v>
                </c:pt>
                <c:pt idx="26">
                  <c:v>$1,732,992</c:v>
                </c:pt>
                <c:pt idx="27">
                  <c:v>$1,819,641</c:v>
                </c:pt>
                <c:pt idx="28">
                  <c:v>$1,910,623</c:v>
                </c:pt>
                <c:pt idx="29">
                  <c:v>$2,006,154</c:v>
                </c:pt>
                <c:pt idx="30">
                  <c:v>$2,106,462</c:v>
                </c:pt>
                <c:pt idx="31">
                  <c:v>$2,211,785</c:v>
                </c:pt>
                <c:pt idx="32">
                  <c:v>$2,322,374</c:v>
                </c:pt>
                <c:pt idx="33">
                  <c:v>$2,438,493</c:v>
                </c:pt>
                <c:pt idx="34">
                  <c:v>$2,560,418</c:v>
                </c:pt>
                <c:pt idx="35">
                  <c:v>$2,688,439</c:v>
                </c:pt>
                <c:pt idx="36">
                  <c:v>$2,822,861</c:v>
                </c:pt>
                <c:pt idx="37">
                  <c:v>$2,964,004</c:v>
                </c:pt>
                <c:pt idx="38">
                  <c:v>$3,112,204</c:v>
                </c:pt>
                <c:pt idx="39">
                  <c:v>$3,267,814</c:v>
                </c:pt>
                <c:pt idx="40">
                  <c:v>$3,431,205</c:v>
                </c:pt>
                <c:pt idx="41">
                  <c:v>$3,602,765</c:v>
                </c:pt>
                <c:pt idx="42">
                  <c:v>$3,782,903</c:v>
                </c:pt>
                <c:pt idx="43">
                  <c:v>$3,972,048</c:v>
                </c:pt>
                <c:pt idx="44">
                  <c:v>$4,170,651</c:v>
                </c:pt>
                <c:pt idx="45">
                  <c:v>$4,379,183</c:v>
                </c:pt>
                <c:pt idx="46">
                  <c:v>$4,598,143</c:v>
                </c:pt>
                <c:pt idx="47">
                  <c:v>$4,828,050</c:v>
                </c:pt>
                <c:pt idx="48">
                  <c:v>$5,069,452</c:v>
                </c:pt>
                <c:pt idx="49">
                  <c:v>$5,322,925</c:v>
                </c:pt>
                <c:pt idx="50">
                  <c:v>$5,589,071</c:v>
                </c:pt>
                <c:pt idx="51">
                  <c:v>$5,868,525</c:v>
                </c:pt>
                <c:pt idx="52">
                  <c:v>$6,161,951</c:v>
                </c:pt>
                <c:pt idx="53">
                  <c:v>$6,470,048</c:v>
                </c:pt>
                <c:pt idx="54">
                  <c:v>$6,793,551</c:v>
                </c:pt>
                <c:pt idx="55">
                  <c:v>$7,133,228</c:v>
                </c:pt>
                <c:pt idx="56">
                  <c:v>$7,489,890</c:v>
                </c:pt>
                <c:pt idx="57">
                  <c:v>$7,864,384</c:v>
                </c:pt>
                <c:pt idx="58">
                  <c:v>$8,257,603</c:v>
                </c:pt>
                <c:pt idx="59">
                  <c:v>$8,670,484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'Monthly Income Statement '!$B$2:$BI$2</c:f>
              <c:strCache>
                <c:ptCount val="60"/>
                <c:pt idx="0">
                  <c:v>Mon 1</c:v>
                </c:pt>
                <c:pt idx="1">
                  <c:v>Mon 2</c:v>
                </c:pt>
                <c:pt idx="2">
                  <c:v>Mon 3</c:v>
                </c:pt>
                <c:pt idx="3">
                  <c:v>Mon 4</c:v>
                </c:pt>
                <c:pt idx="4">
                  <c:v>Mon 5</c:v>
                </c:pt>
                <c:pt idx="5">
                  <c:v>Mon 6</c:v>
                </c:pt>
                <c:pt idx="6">
                  <c:v>Mon 7</c:v>
                </c:pt>
                <c:pt idx="7">
                  <c:v>Mon 8</c:v>
                </c:pt>
                <c:pt idx="8">
                  <c:v>Mon 9</c:v>
                </c:pt>
                <c:pt idx="9">
                  <c:v>Mon 10</c:v>
                </c:pt>
                <c:pt idx="10">
                  <c:v>Mon 11</c:v>
                </c:pt>
                <c:pt idx="11">
                  <c:v>Mon 12</c:v>
                </c:pt>
                <c:pt idx="12">
                  <c:v>Mon 13</c:v>
                </c:pt>
                <c:pt idx="13">
                  <c:v>Mon 14</c:v>
                </c:pt>
                <c:pt idx="14">
                  <c:v>Mon 15</c:v>
                </c:pt>
                <c:pt idx="15">
                  <c:v>Mon 16</c:v>
                </c:pt>
                <c:pt idx="16">
                  <c:v>Mon 17</c:v>
                </c:pt>
                <c:pt idx="17">
                  <c:v>Mon 18</c:v>
                </c:pt>
                <c:pt idx="18">
                  <c:v>Mon 19</c:v>
                </c:pt>
                <c:pt idx="19">
                  <c:v>Mon 20</c:v>
                </c:pt>
                <c:pt idx="20">
                  <c:v>Mon 21</c:v>
                </c:pt>
                <c:pt idx="21">
                  <c:v>Mon 22</c:v>
                </c:pt>
                <c:pt idx="22">
                  <c:v>Mon 23</c:v>
                </c:pt>
                <c:pt idx="23">
                  <c:v>Mon 24</c:v>
                </c:pt>
                <c:pt idx="24">
                  <c:v>Mon 25</c:v>
                </c:pt>
                <c:pt idx="25">
                  <c:v>Mon 26</c:v>
                </c:pt>
                <c:pt idx="26">
                  <c:v>Mon 27</c:v>
                </c:pt>
                <c:pt idx="27">
                  <c:v>Mon 28</c:v>
                </c:pt>
                <c:pt idx="28">
                  <c:v>Mon 29</c:v>
                </c:pt>
                <c:pt idx="29">
                  <c:v>Mon 30</c:v>
                </c:pt>
                <c:pt idx="30">
                  <c:v>Mon 31</c:v>
                </c:pt>
                <c:pt idx="31">
                  <c:v>Mon 32</c:v>
                </c:pt>
                <c:pt idx="32">
                  <c:v>Mon 33</c:v>
                </c:pt>
                <c:pt idx="33">
                  <c:v>Mon 34</c:v>
                </c:pt>
                <c:pt idx="34">
                  <c:v>Mon 35</c:v>
                </c:pt>
                <c:pt idx="35">
                  <c:v>Mon 36</c:v>
                </c:pt>
                <c:pt idx="36">
                  <c:v>Mon 37</c:v>
                </c:pt>
                <c:pt idx="37">
                  <c:v>Mon 38</c:v>
                </c:pt>
                <c:pt idx="38">
                  <c:v>Mon 39</c:v>
                </c:pt>
                <c:pt idx="39">
                  <c:v>Mon 40</c:v>
                </c:pt>
                <c:pt idx="40">
                  <c:v>Mon 41</c:v>
                </c:pt>
                <c:pt idx="41">
                  <c:v>Mon 42</c:v>
                </c:pt>
                <c:pt idx="42">
                  <c:v>Mon 43</c:v>
                </c:pt>
                <c:pt idx="43">
                  <c:v>Mon 44</c:v>
                </c:pt>
                <c:pt idx="44">
                  <c:v>Mon 45</c:v>
                </c:pt>
                <c:pt idx="45">
                  <c:v>Mon 46</c:v>
                </c:pt>
                <c:pt idx="46">
                  <c:v>Mon 47</c:v>
                </c:pt>
                <c:pt idx="47">
                  <c:v>Mon 48</c:v>
                </c:pt>
                <c:pt idx="48">
                  <c:v>Mon 49</c:v>
                </c:pt>
                <c:pt idx="49">
                  <c:v>Mon 50</c:v>
                </c:pt>
                <c:pt idx="50">
                  <c:v>Mon 51</c:v>
                </c:pt>
                <c:pt idx="51">
                  <c:v>Mon 52</c:v>
                </c:pt>
                <c:pt idx="52">
                  <c:v>Mon 53</c:v>
                </c:pt>
                <c:pt idx="53">
                  <c:v>Mon 53</c:v>
                </c:pt>
                <c:pt idx="54">
                  <c:v>Mon 55</c:v>
                </c:pt>
                <c:pt idx="55">
                  <c:v>Mon 56</c:v>
                </c:pt>
                <c:pt idx="56">
                  <c:v>Mon 57</c:v>
                </c:pt>
                <c:pt idx="57">
                  <c:v>Mon 58</c:v>
                </c:pt>
                <c:pt idx="58">
                  <c:v>Mon 59</c:v>
                </c:pt>
                <c:pt idx="59">
                  <c:v>Mon 60</c:v>
                </c:pt>
              </c:strCache>
            </c:strRef>
          </c:cat>
          <c:val>
            <c:numRef>
              <c:f>'Monthly Income Statement '!$B$3:$BI$3</c:f>
              <c:numCache>
                <c:formatCode>"$"#,##0</c:formatCode>
                <c:ptCount val="60"/>
                <c:pt idx="0">
                  <c:v>262500</c:v>
                </c:pt>
                <c:pt idx="1">
                  <c:v>270375.00000000006</c:v>
                </c:pt>
                <c:pt idx="2">
                  <c:v>278486.25</c:v>
                </c:pt>
                <c:pt idx="3">
                  <c:v>286840.83750000002</c:v>
                </c:pt>
                <c:pt idx="4">
                  <c:v>295446.06262500002</c:v>
                </c:pt>
                <c:pt idx="5">
                  <c:v>304309.44450375001</c:v>
                </c:pt>
                <c:pt idx="6">
                  <c:v>313438.72783886257</c:v>
                </c:pt>
                <c:pt idx="7">
                  <c:v>322841.88967402844</c:v>
                </c:pt>
                <c:pt idx="8">
                  <c:v>332527.14636424929</c:v>
                </c:pt>
                <c:pt idx="9">
                  <c:v>342502.96075517678</c:v>
                </c:pt>
                <c:pt idx="10">
                  <c:v>352778.04957783211</c:v>
                </c:pt>
                <c:pt idx="11">
                  <c:v>363361.39106516703</c:v>
                </c:pt>
                <c:pt idx="12">
                  <c:v>524697.53017168376</c:v>
                </c:pt>
                <c:pt idx="13">
                  <c:v>577167.28318885225</c:v>
                </c:pt>
                <c:pt idx="14">
                  <c:v>634884.01150773745</c:v>
                </c:pt>
                <c:pt idx="15">
                  <c:v>698372.4126585112</c:v>
                </c:pt>
                <c:pt idx="16">
                  <c:v>768209.65392436238</c:v>
                </c:pt>
                <c:pt idx="17">
                  <c:v>845030.61931679875</c:v>
                </c:pt>
                <c:pt idx="18">
                  <c:v>929533.68124847859</c:v>
                </c:pt>
                <c:pt idx="19">
                  <c:v>1022487.0493733266</c:v>
                </c:pt>
                <c:pt idx="20">
                  <c:v>1124735.7543106594</c:v>
                </c:pt>
                <c:pt idx="21">
                  <c:v>1237209.3297417252</c:v>
                </c:pt>
                <c:pt idx="22">
                  <c:v>1360930.262715898</c:v>
                </c:pt>
                <c:pt idx="23">
                  <c:v>1497023.2889874878</c:v>
                </c:pt>
                <c:pt idx="24">
                  <c:v>1571874.453436862</c:v>
                </c:pt>
                <c:pt idx="25">
                  <c:v>1650468.1761087053</c:v>
                </c:pt>
                <c:pt idx="26">
                  <c:v>1732991.5849141406</c:v>
                </c:pt>
                <c:pt idx="27">
                  <c:v>1819641.1641598477</c:v>
                </c:pt>
                <c:pt idx="28">
                  <c:v>1910623.2223678401</c:v>
                </c:pt>
                <c:pt idx="29">
                  <c:v>2006154.3834862323</c:v>
                </c:pt>
                <c:pt idx="30">
                  <c:v>2106462.1026605442</c:v>
                </c:pt>
                <c:pt idx="31">
                  <c:v>2211785.2077935711</c:v>
                </c:pt>
                <c:pt idx="32">
                  <c:v>2322374.4681832502</c:v>
                </c:pt>
                <c:pt idx="33">
                  <c:v>2438493.1915924125</c:v>
                </c:pt>
                <c:pt idx="34">
                  <c:v>2560417.8511720337</c:v>
                </c:pt>
                <c:pt idx="35">
                  <c:v>2688438.7437306354</c:v>
                </c:pt>
                <c:pt idx="36">
                  <c:v>2822860.6809171671</c:v>
                </c:pt>
                <c:pt idx="37">
                  <c:v>2964003.7149630254</c:v>
                </c:pt>
                <c:pt idx="38">
                  <c:v>3112203.9007111769</c:v>
                </c:pt>
                <c:pt idx="39">
                  <c:v>3267814.0957467356</c:v>
                </c:pt>
                <c:pt idx="40">
                  <c:v>3431204.8005340728</c:v>
                </c:pt>
                <c:pt idx="41">
                  <c:v>3602765.0405607768</c:v>
                </c:pt>
                <c:pt idx="42">
                  <c:v>3782903.2925888156</c:v>
                </c:pt>
                <c:pt idx="43">
                  <c:v>3972048.4572182568</c:v>
                </c:pt>
                <c:pt idx="44">
                  <c:v>4170650.8800791693</c:v>
                </c:pt>
                <c:pt idx="45">
                  <c:v>4379183.4240831286</c:v>
                </c:pt>
                <c:pt idx="46">
                  <c:v>4598142.5952872839</c:v>
                </c:pt>
                <c:pt idx="47">
                  <c:v>4828049.7250516489</c:v>
                </c:pt>
                <c:pt idx="48">
                  <c:v>5069452.2113042306</c:v>
                </c:pt>
                <c:pt idx="49">
                  <c:v>5322924.8218694422</c:v>
                </c:pt>
                <c:pt idx="50">
                  <c:v>5589071.0629629157</c:v>
                </c:pt>
                <c:pt idx="51">
                  <c:v>5868524.6161110615</c:v>
                </c:pt>
                <c:pt idx="52">
                  <c:v>6161950.846916615</c:v>
                </c:pt>
                <c:pt idx="53">
                  <c:v>6470048.3892624462</c:v>
                </c:pt>
                <c:pt idx="54">
                  <c:v>6793550.8087255685</c:v>
                </c:pt>
                <c:pt idx="55">
                  <c:v>7133228.3491618475</c:v>
                </c:pt>
                <c:pt idx="56">
                  <c:v>7489889.7666199394</c:v>
                </c:pt>
                <c:pt idx="57">
                  <c:v>7864384.2549509369</c:v>
                </c:pt>
                <c:pt idx="58">
                  <c:v>8257603.4676984847</c:v>
                </c:pt>
                <c:pt idx="59">
                  <c:v>8670483.64108341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E8-4D9A-BBBF-BC65623D15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2157040"/>
        <c:axId val="112158672"/>
      </c:barChart>
      <c:catAx>
        <c:axId val="112157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58672"/>
        <c:crosses val="autoZero"/>
        <c:auto val="1"/>
        <c:lblAlgn val="r"/>
        <c:lblOffset val="100"/>
        <c:noMultiLvlLbl val="0"/>
      </c:catAx>
      <c:valAx>
        <c:axId val="112158672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57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Monthly Net Income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'Monthly Income Statement '!$B$31:$BI$31</c:f>
              <c:strCache>
                <c:ptCount val="60"/>
                <c:pt idx="0">
                  <c:v>$6,221</c:v>
                </c:pt>
                <c:pt idx="1">
                  <c:v>$10,946</c:v>
                </c:pt>
                <c:pt idx="2">
                  <c:v>$15,813</c:v>
                </c:pt>
                <c:pt idx="3">
                  <c:v>$20,825</c:v>
                </c:pt>
                <c:pt idx="4">
                  <c:v>$25,988</c:v>
                </c:pt>
                <c:pt idx="5">
                  <c:v>$31,306</c:v>
                </c:pt>
                <c:pt idx="6">
                  <c:v>$36,784</c:v>
                </c:pt>
                <c:pt idx="7">
                  <c:v>$42,426</c:v>
                </c:pt>
                <c:pt idx="8">
                  <c:v>$48,237</c:v>
                </c:pt>
                <c:pt idx="9">
                  <c:v>$54,223</c:v>
                </c:pt>
                <c:pt idx="10">
                  <c:v>$60,388</c:v>
                </c:pt>
                <c:pt idx="11">
                  <c:v>$66,738</c:v>
                </c:pt>
                <c:pt idx="12">
                  <c:v>$25,522</c:v>
                </c:pt>
                <c:pt idx="13">
                  <c:v>$63,261</c:v>
                </c:pt>
                <c:pt idx="14">
                  <c:v>$95,141</c:v>
                </c:pt>
                <c:pt idx="15">
                  <c:v>$130,209</c:v>
                </c:pt>
                <c:pt idx="16">
                  <c:v>$168,784</c:v>
                </c:pt>
                <c:pt idx="17">
                  <c:v>$211,216</c:v>
                </c:pt>
                <c:pt idx="18">
                  <c:v>$257,892</c:v>
                </c:pt>
                <c:pt idx="19">
                  <c:v>$309,235</c:v>
                </c:pt>
                <c:pt idx="20">
                  <c:v>$365,712</c:v>
                </c:pt>
                <c:pt idx="21">
                  <c:v>$427,837</c:v>
                </c:pt>
                <c:pt idx="22">
                  <c:v>$496,175</c:v>
                </c:pt>
                <c:pt idx="23">
                  <c:v>$571,346</c:v>
                </c:pt>
                <c:pt idx="24">
                  <c:v>$391,009</c:v>
                </c:pt>
                <c:pt idx="25">
                  <c:v>$455,642</c:v>
                </c:pt>
                <c:pt idx="26">
                  <c:v>$501,224</c:v>
                </c:pt>
                <c:pt idx="27">
                  <c:v>$549,085</c:v>
                </c:pt>
                <c:pt idx="28">
                  <c:v>$599,339</c:v>
                </c:pt>
                <c:pt idx="29">
                  <c:v>$652,106</c:v>
                </c:pt>
                <c:pt idx="30">
                  <c:v>$707,512</c:v>
                </c:pt>
                <c:pt idx="31">
                  <c:v>$765,687</c:v>
                </c:pt>
                <c:pt idx="32">
                  <c:v>$826,772</c:v>
                </c:pt>
                <c:pt idx="33">
                  <c:v>$890,910</c:v>
                </c:pt>
                <c:pt idx="34">
                  <c:v>$958,256</c:v>
                </c:pt>
                <c:pt idx="35">
                  <c:v>$1,028,968</c:v>
                </c:pt>
                <c:pt idx="36">
                  <c:v>$759,973</c:v>
                </c:pt>
                <c:pt idx="37">
                  <c:v>$872,758</c:v>
                </c:pt>
                <c:pt idx="38">
                  <c:v>$954,617</c:v>
                </c:pt>
                <c:pt idx="39">
                  <c:v>$1,040,569</c:v>
                </c:pt>
                <c:pt idx="40">
                  <c:v>$1,130,819</c:v>
                </c:pt>
                <c:pt idx="41">
                  <c:v>$1,225,580</c:v>
                </c:pt>
                <c:pt idx="42">
                  <c:v>$1,325,080</c:v>
                </c:pt>
                <c:pt idx="43">
                  <c:v>$1,429,555</c:v>
                </c:pt>
                <c:pt idx="44">
                  <c:v>$1,539,254</c:v>
                </c:pt>
                <c:pt idx="45">
                  <c:v>$1,654,438</c:v>
                </c:pt>
                <c:pt idx="46">
                  <c:v>$1,775,381</c:v>
                </c:pt>
                <c:pt idx="47">
                  <c:v>$1,902,371</c:v>
                </c:pt>
                <c:pt idx="48">
                  <c:v>$1,410,884</c:v>
                </c:pt>
                <c:pt idx="49">
                  <c:v>$1,601,648</c:v>
                </c:pt>
                <c:pt idx="50">
                  <c:v>$1,748,655</c:v>
                </c:pt>
                <c:pt idx="51">
                  <c:v>$1,903,012</c:v>
                </c:pt>
                <c:pt idx="52">
                  <c:v>$2,065,087</c:v>
                </c:pt>
                <c:pt idx="53">
                  <c:v>$2,235,266</c:v>
                </c:pt>
                <c:pt idx="54">
                  <c:v>$2,413,954</c:v>
                </c:pt>
                <c:pt idx="55">
                  <c:v>$2,601,576</c:v>
                </c:pt>
                <c:pt idx="56">
                  <c:v>$2,798,579</c:v>
                </c:pt>
                <c:pt idx="57">
                  <c:v>$3,005,432</c:v>
                </c:pt>
                <c:pt idx="58">
                  <c:v>$3,222,628</c:v>
                </c:pt>
                <c:pt idx="59">
                  <c:v>$3,450,684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'Monthly Income Statement '!$B$2:$BI$2</c:f>
              <c:strCache>
                <c:ptCount val="60"/>
                <c:pt idx="0">
                  <c:v>Mon 1</c:v>
                </c:pt>
                <c:pt idx="1">
                  <c:v>Mon 2</c:v>
                </c:pt>
                <c:pt idx="2">
                  <c:v>Mon 3</c:v>
                </c:pt>
                <c:pt idx="3">
                  <c:v>Mon 4</c:v>
                </c:pt>
                <c:pt idx="4">
                  <c:v>Mon 5</c:v>
                </c:pt>
                <c:pt idx="5">
                  <c:v>Mon 6</c:v>
                </c:pt>
                <c:pt idx="6">
                  <c:v>Mon 7</c:v>
                </c:pt>
                <c:pt idx="7">
                  <c:v>Mon 8</c:v>
                </c:pt>
                <c:pt idx="8">
                  <c:v>Mon 9</c:v>
                </c:pt>
                <c:pt idx="9">
                  <c:v>Mon 10</c:v>
                </c:pt>
                <c:pt idx="10">
                  <c:v>Mon 11</c:v>
                </c:pt>
                <c:pt idx="11">
                  <c:v>Mon 12</c:v>
                </c:pt>
                <c:pt idx="12">
                  <c:v>Mon 13</c:v>
                </c:pt>
                <c:pt idx="13">
                  <c:v>Mon 14</c:v>
                </c:pt>
                <c:pt idx="14">
                  <c:v>Mon 15</c:v>
                </c:pt>
                <c:pt idx="15">
                  <c:v>Mon 16</c:v>
                </c:pt>
                <c:pt idx="16">
                  <c:v>Mon 17</c:v>
                </c:pt>
                <c:pt idx="17">
                  <c:v>Mon 18</c:v>
                </c:pt>
                <c:pt idx="18">
                  <c:v>Mon 19</c:v>
                </c:pt>
                <c:pt idx="19">
                  <c:v>Mon 20</c:v>
                </c:pt>
                <c:pt idx="20">
                  <c:v>Mon 21</c:v>
                </c:pt>
                <c:pt idx="21">
                  <c:v>Mon 22</c:v>
                </c:pt>
                <c:pt idx="22">
                  <c:v>Mon 23</c:v>
                </c:pt>
                <c:pt idx="23">
                  <c:v>Mon 24</c:v>
                </c:pt>
                <c:pt idx="24">
                  <c:v>Mon 25</c:v>
                </c:pt>
                <c:pt idx="25">
                  <c:v>Mon 26</c:v>
                </c:pt>
                <c:pt idx="26">
                  <c:v>Mon 27</c:v>
                </c:pt>
                <c:pt idx="27">
                  <c:v>Mon 28</c:v>
                </c:pt>
                <c:pt idx="28">
                  <c:v>Mon 29</c:v>
                </c:pt>
                <c:pt idx="29">
                  <c:v>Mon 30</c:v>
                </c:pt>
                <c:pt idx="30">
                  <c:v>Mon 31</c:v>
                </c:pt>
                <c:pt idx="31">
                  <c:v>Mon 32</c:v>
                </c:pt>
                <c:pt idx="32">
                  <c:v>Mon 33</c:v>
                </c:pt>
                <c:pt idx="33">
                  <c:v>Mon 34</c:v>
                </c:pt>
                <c:pt idx="34">
                  <c:v>Mon 35</c:v>
                </c:pt>
                <c:pt idx="35">
                  <c:v>Mon 36</c:v>
                </c:pt>
                <c:pt idx="36">
                  <c:v>Mon 37</c:v>
                </c:pt>
                <c:pt idx="37">
                  <c:v>Mon 38</c:v>
                </c:pt>
                <c:pt idx="38">
                  <c:v>Mon 39</c:v>
                </c:pt>
                <c:pt idx="39">
                  <c:v>Mon 40</c:v>
                </c:pt>
                <c:pt idx="40">
                  <c:v>Mon 41</c:v>
                </c:pt>
                <c:pt idx="41">
                  <c:v>Mon 42</c:v>
                </c:pt>
                <c:pt idx="42">
                  <c:v>Mon 43</c:v>
                </c:pt>
                <c:pt idx="43">
                  <c:v>Mon 44</c:v>
                </c:pt>
                <c:pt idx="44">
                  <c:v>Mon 45</c:v>
                </c:pt>
                <c:pt idx="45">
                  <c:v>Mon 46</c:v>
                </c:pt>
                <c:pt idx="46">
                  <c:v>Mon 47</c:v>
                </c:pt>
                <c:pt idx="47">
                  <c:v>Mon 48</c:v>
                </c:pt>
                <c:pt idx="48">
                  <c:v>Mon 49</c:v>
                </c:pt>
                <c:pt idx="49">
                  <c:v>Mon 50</c:v>
                </c:pt>
                <c:pt idx="50">
                  <c:v>Mon 51</c:v>
                </c:pt>
                <c:pt idx="51">
                  <c:v>Mon 52</c:v>
                </c:pt>
                <c:pt idx="52">
                  <c:v>Mon 53</c:v>
                </c:pt>
                <c:pt idx="53">
                  <c:v>Mon 53</c:v>
                </c:pt>
                <c:pt idx="54">
                  <c:v>Mon 55</c:v>
                </c:pt>
                <c:pt idx="55">
                  <c:v>Mon 56</c:v>
                </c:pt>
                <c:pt idx="56">
                  <c:v>Mon 57</c:v>
                </c:pt>
                <c:pt idx="57">
                  <c:v>Mon 58</c:v>
                </c:pt>
                <c:pt idx="58">
                  <c:v>Mon 59</c:v>
                </c:pt>
                <c:pt idx="59">
                  <c:v>Mon 60</c:v>
                </c:pt>
              </c:strCache>
            </c:strRef>
          </c:cat>
          <c:val>
            <c:numRef>
              <c:f>'Monthly Income Statement '!$B$31:$BI$31</c:f>
              <c:numCache>
                <c:formatCode>"$"#,##0</c:formatCode>
                <c:ptCount val="60"/>
                <c:pt idx="0">
                  <c:v>6220.7960210073052</c:v>
                </c:pt>
                <c:pt idx="1">
                  <c:v>10945.796021007334</c:v>
                </c:pt>
                <c:pt idx="2">
                  <c:v>15812.546021007276</c:v>
                </c:pt>
                <c:pt idx="3">
                  <c:v>20825.298521007338</c:v>
                </c:pt>
                <c:pt idx="4">
                  <c:v>25988.433596007308</c:v>
                </c:pt>
                <c:pt idx="5">
                  <c:v>31306.462723257297</c:v>
                </c:pt>
                <c:pt idx="6">
                  <c:v>36784.032724324861</c:v>
                </c:pt>
                <c:pt idx="7">
                  <c:v>42425.929825424348</c:v>
                </c:pt>
                <c:pt idx="8">
                  <c:v>48237.083839556886</c:v>
                </c:pt>
                <c:pt idx="9">
                  <c:v>54222.57247411336</c:v>
                </c:pt>
                <c:pt idx="10">
                  <c:v>60387.625767706559</c:v>
                </c:pt>
                <c:pt idx="11">
                  <c:v>66737.630660107519</c:v>
                </c:pt>
                <c:pt idx="12">
                  <c:v>25522.004770303276</c:v>
                </c:pt>
                <c:pt idx="13">
                  <c:v>63260.764913937761</c:v>
                </c:pt>
                <c:pt idx="14">
                  <c:v>95140.801905268847</c:v>
                </c:pt>
                <c:pt idx="15">
                  <c:v>130208.84259573311</c:v>
                </c:pt>
                <c:pt idx="16">
                  <c:v>168783.68735524383</c:v>
                </c:pt>
                <c:pt idx="17">
                  <c:v>211216.01659070561</c:v>
                </c:pt>
                <c:pt idx="18">
                  <c:v>257891.57874971349</c:v>
                </c:pt>
                <c:pt idx="19">
                  <c:v>309234.69712462235</c:v>
                </c:pt>
                <c:pt idx="20">
                  <c:v>365712.12733702193</c:v>
                </c:pt>
                <c:pt idx="21">
                  <c:v>427837.30057066143</c:v>
                </c:pt>
                <c:pt idx="22">
                  <c:v>496174.9911276651</c:v>
                </c:pt>
                <c:pt idx="23">
                  <c:v>571346.45074036904</c:v>
                </c:pt>
                <c:pt idx="24">
                  <c:v>391009.13323569379</c:v>
                </c:pt>
                <c:pt idx="25">
                  <c:v>455641.72866203054</c:v>
                </c:pt>
                <c:pt idx="26">
                  <c:v>501223.82248468406</c:v>
                </c:pt>
                <c:pt idx="27">
                  <c:v>549085.0209984699</c:v>
                </c:pt>
                <c:pt idx="28">
                  <c:v>599339.27943794534</c:v>
                </c:pt>
                <c:pt idx="29">
                  <c:v>652106.25079939433</c:v>
                </c:pt>
                <c:pt idx="30">
                  <c:v>707511.57072891621</c:v>
                </c:pt>
                <c:pt idx="31">
                  <c:v>765687.15665491333</c:v>
                </c:pt>
                <c:pt idx="32">
                  <c:v>826771.52187721117</c:v>
                </c:pt>
                <c:pt idx="33">
                  <c:v>890910.10536062333</c:v>
                </c:pt>
                <c:pt idx="34">
                  <c:v>958255.61801820656</c:v>
                </c:pt>
                <c:pt idx="35">
                  <c:v>1028968.4063086688</c:v>
                </c:pt>
                <c:pt idx="36">
                  <c:v>759972.7146625102</c:v>
                </c:pt>
                <c:pt idx="37">
                  <c:v>872758.37716941116</c:v>
                </c:pt>
                <c:pt idx="38">
                  <c:v>954617.26871415763</c:v>
                </c:pt>
                <c:pt idx="39">
                  <c:v>1040569.1048361408</c:v>
                </c:pt>
                <c:pt idx="40">
                  <c:v>1130818.5327642239</c:v>
                </c:pt>
                <c:pt idx="41">
                  <c:v>1225580.4320887111</c:v>
                </c:pt>
                <c:pt idx="42">
                  <c:v>1325080.426379422</c:v>
                </c:pt>
                <c:pt idx="43">
                  <c:v>1429555.4203846694</c:v>
                </c:pt>
                <c:pt idx="44">
                  <c:v>1539254.164090178</c:v>
                </c:pt>
                <c:pt idx="45">
                  <c:v>1654437.8449809628</c:v>
                </c:pt>
                <c:pt idx="46">
                  <c:v>1775380.7099162859</c:v>
                </c:pt>
                <c:pt idx="47">
                  <c:v>1902370.7180983762</c:v>
                </c:pt>
                <c:pt idx="48">
                  <c:v>1410883.6780566785</c:v>
                </c:pt>
                <c:pt idx="49">
                  <c:v>1601648.3536524328</c:v>
                </c:pt>
                <c:pt idx="50">
                  <c:v>1748655.1618742265</c:v>
                </c:pt>
                <c:pt idx="51">
                  <c:v>1903012.3105071068</c:v>
                </c:pt>
                <c:pt idx="52">
                  <c:v>2065087.3165716336</c:v>
                </c:pt>
                <c:pt idx="53">
                  <c:v>2235266.0729393847</c:v>
                </c:pt>
                <c:pt idx="54">
                  <c:v>2413953.7671255246</c:v>
                </c:pt>
                <c:pt idx="55">
                  <c:v>2601575.8460209724</c:v>
                </c:pt>
                <c:pt idx="56">
                  <c:v>2798579.0288611893</c:v>
                </c:pt>
                <c:pt idx="57">
                  <c:v>3005432.3708434198</c:v>
                </c:pt>
                <c:pt idx="58">
                  <c:v>3222628.3799247621</c:v>
                </c:pt>
                <c:pt idx="59">
                  <c:v>3450684.1894601714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D6-49AD-AC27-05DF7628FF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352448"/>
        <c:axId val="113357344"/>
      </c:barChart>
      <c:catAx>
        <c:axId val="113352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57344"/>
        <c:crosses val="autoZero"/>
        <c:auto val="1"/>
        <c:lblAlgn val="r"/>
        <c:lblOffset val="100"/>
        <c:noMultiLvlLbl val="0"/>
      </c:catAx>
      <c:valAx>
        <c:axId val="113357344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52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Monthly Total Expenses 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'Monthly Income Statement '!$B$17:$BI$17</c:f>
              <c:strCache>
                <c:ptCount val="60"/>
                <c:pt idx="0">
                  <c:v>$149,228</c:v>
                </c:pt>
                <c:pt idx="1">
                  <c:v>$149,779</c:v>
                </c:pt>
                <c:pt idx="2">
                  <c:v>$150,347</c:v>
                </c:pt>
                <c:pt idx="3">
                  <c:v>$150,932</c:v>
                </c:pt>
                <c:pt idx="4">
                  <c:v>$151,534</c:v>
                </c:pt>
                <c:pt idx="5">
                  <c:v>$152,154</c:v>
                </c:pt>
                <c:pt idx="6">
                  <c:v>$152,793</c:v>
                </c:pt>
                <c:pt idx="7">
                  <c:v>$153,452</c:v>
                </c:pt>
                <c:pt idx="8">
                  <c:v>$154,130</c:v>
                </c:pt>
                <c:pt idx="9">
                  <c:v>$154,828</c:v>
                </c:pt>
                <c:pt idx="10">
                  <c:v>$155,547</c:v>
                </c:pt>
                <c:pt idx="11">
                  <c:v>$156,288</c:v>
                </c:pt>
                <c:pt idx="12">
                  <c:v>$220,735</c:v>
                </c:pt>
                <c:pt idx="13">
                  <c:v>$215,651</c:v>
                </c:pt>
                <c:pt idx="14">
                  <c:v>$219,691</c:v>
                </c:pt>
                <c:pt idx="15">
                  <c:v>$224,135</c:v>
                </c:pt>
                <c:pt idx="16">
                  <c:v>$229,024</c:v>
                </c:pt>
                <c:pt idx="17">
                  <c:v>$234,401</c:v>
                </c:pt>
                <c:pt idx="18">
                  <c:v>$240,316</c:v>
                </c:pt>
                <c:pt idx="19">
                  <c:v>$246,823</c:v>
                </c:pt>
                <c:pt idx="20">
                  <c:v>$253,981</c:v>
                </c:pt>
                <c:pt idx="21">
                  <c:v>$261,854</c:v>
                </c:pt>
                <c:pt idx="22">
                  <c:v>$270,514</c:v>
                </c:pt>
                <c:pt idx="23">
                  <c:v>$280,041</c:v>
                </c:pt>
                <c:pt idx="24">
                  <c:v>$391,679</c:v>
                </c:pt>
                <c:pt idx="25">
                  <c:v>$375,960</c:v>
                </c:pt>
                <c:pt idx="26">
                  <c:v>$381,737</c:v>
                </c:pt>
                <c:pt idx="27">
                  <c:v>$387,802</c:v>
                </c:pt>
                <c:pt idx="28">
                  <c:v>$394,171</c:v>
                </c:pt>
                <c:pt idx="29">
                  <c:v>$400,858</c:v>
                </c:pt>
                <c:pt idx="30">
                  <c:v>$407,879</c:v>
                </c:pt>
                <c:pt idx="31">
                  <c:v>$415,252</c:v>
                </c:pt>
                <c:pt idx="32">
                  <c:v>$422,993</c:v>
                </c:pt>
                <c:pt idx="33">
                  <c:v>$431,122</c:v>
                </c:pt>
                <c:pt idx="34">
                  <c:v>$439,656</c:v>
                </c:pt>
                <c:pt idx="35">
                  <c:v>$448,618</c:v>
                </c:pt>
                <c:pt idx="36">
                  <c:v>$639,920</c:v>
                </c:pt>
                <c:pt idx="37">
                  <c:v>$614,975</c:v>
                </c:pt>
                <c:pt idx="38">
                  <c:v>$625,349</c:v>
                </c:pt>
                <c:pt idx="39">
                  <c:v>$636,242</c:v>
                </c:pt>
                <c:pt idx="40">
                  <c:v>$647,679</c:v>
                </c:pt>
                <c:pt idx="41">
                  <c:v>$659,688</c:v>
                </c:pt>
                <c:pt idx="42">
                  <c:v>$672,298</c:v>
                </c:pt>
                <c:pt idx="43">
                  <c:v>$685,538</c:v>
                </c:pt>
                <c:pt idx="44">
                  <c:v>$699,440</c:v>
                </c:pt>
                <c:pt idx="45">
                  <c:v>$714,037</c:v>
                </c:pt>
                <c:pt idx="46">
                  <c:v>$729,365</c:v>
                </c:pt>
                <c:pt idx="47">
                  <c:v>$745,458</c:v>
                </c:pt>
                <c:pt idx="48">
                  <c:v>$1,102,597</c:v>
                </c:pt>
                <c:pt idx="49">
                  <c:v>$1,069,582</c:v>
                </c:pt>
                <c:pt idx="50">
                  <c:v>$1,088,212</c:v>
                </c:pt>
                <c:pt idx="51">
                  <c:v>$1,107,774</c:v>
                </c:pt>
                <c:pt idx="52">
                  <c:v>$1,128,314</c:v>
                </c:pt>
                <c:pt idx="53">
                  <c:v>$1,149,881</c:v>
                </c:pt>
                <c:pt idx="54">
                  <c:v>$1,172,526</c:v>
                </c:pt>
                <c:pt idx="55">
                  <c:v>$1,196,303</c:v>
                </c:pt>
                <c:pt idx="56">
                  <c:v>$1,221,270</c:v>
                </c:pt>
                <c:pt idx="57">
                  <c:v>$1,247,484</c:v>
                </c:pt>
                <c:pt idx="58">
                  <c:v>$1,275,009</c:v>
                </c:pt>
                <c:pt idx="59">
                  <c:v>$1,303,911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'Monthly Income Statement '!$B$2:$BI$2</c:f>
              <c:strCache>
                <c:ptCount val="60"/>
                <c:pt idx="0">
                  <c:v>Mon 1</c:v>
                </c:pt>
                <c:pt idx="1">
                  <c:v>Mon 2</c:v>
                </c:pt>
                <c:pt idx="2">
                  <c:v>Mon 3</c:v>
                </c:pt>
                <c:pt idx="3">
                  <c:v>Mon 4</c:v>
                </c:pt>
                <c:pt idx="4">
                  <c:v>Mon 5</c:v>
                </c:pt>
                <c:pt idx="5">
                  <c:v>Mon 6</c:v>
                </c:pt>
                <c:pt idx="6">
                  <c:v>Mon 7</c:v>
                </c:pt>
                <c:pt idx="7">
                  <c:v>Mon 8</c:v>
                </c:pt>
                <c:pt idx="8">
                  <c:v>Mon 9</c:v>
                </c:pt>
                <c:pt idx="9">
                  <c:v>Mon 10</c:v>
                </c:pt>
                <c:pt idx="10">
                  <c:v>Mon 11</c:v>
                </c:pt>
                <c:pt idx="11">
                  <c:v>Mon 12</c:v>
                </c:pt>
                <c:pt idx="12">
                  <c:v>Mon 13</c:v>
                </c:pt>
                <c:pt idx="13">
                  <c:v>Mon 14</c:v>
                </c:pt>
                <c:pt idx="14">
                  <c:v>Mon 15</c:v>
                </c:pt>
                <c:pt idx="15">
                  <c:v>Mon 16</c:v>
                </c:pt>
                <c:pt idx="16">
                  <c:v>Mon 17</c:v>
                </c:pt>
                <c:pt idx="17">
                  <c:v>Mon 18</c:v>
                </c:pt>
                <c:pt idx="18">
                  <c:v>Mon 19</c:v>
                </c:pt>
                <c:pt idx="19">
                  <c:v>Mon 20</c:v>
                </c:pt>
                <c:pt idx="20">
                  <c:v>Mon 21</c:v>
                </c:pt>
                <c:pt idx="21">
                  <c:v>Mon 22</c:v>
                </c:pt>
                <c:pt idx="22">
                  <c:v>Mon 23</c:v>
                </c:pt>
                <c:pt idx="23">
                  <c:v>Mon 24</c:v>
                </c:pt>
                <c:pt idx="24">
                  <c:v>Mon 25</c:v>
                </c:pt>
                <c:pt idx="25">
                  <c:v>Mon 26</c:v>
                </c:pt>
                <c:pt idx="26">
                  <c:v>Mon 27</c:v>
                </c:pt>
                <c:pt idx="27">
                  <c:v>Mon 28</c:v>
                </c:pt>
                <c:pt idx="28">
                  <c:v>Mon 29</c:v>
                </c:pt>
                <c:pt idx="29">
                  <c:v>Mon 30</c:v>
                </c:pt>
                <c:pt idx="30">
                  <c:v>Mon 31</c:v>
                </c:pt>
                <c:pt idx="31">
                  <c:v>Mon 32</c:v>
                </c:pt>
                <c:pt idx="32">
                  <c:v>Mon 33</c:v>
                </c:pt>
                <c:pt idx="33">
                  <c:v>Mon 34</c:v>
                </c:pt>
                <c:pt idx="34">
                  <c:v>Mon 35</c:v>
                </c:pt>
                <c:pt idx="35">
                  <c:v>Mon 36</c:v>
                </c:pt>
                <c:pt idx="36">
                  <c:v>Mon 37</c:v>
                </c:pt>
                <c:pt idx="37">
                  <c:v>Mon 38</c:v>
                </c:pt>
                <c:pt idx="38">
                  <c:v>Mon 39</c:v>
                </c:pt>
                <c:pt idx="39">
                  <c:v>Mon 40</c:v>
                </c:pt>
                <c:pt idx="40">
                  <c:v>Mon 41</c:v>
                </c:pt>
                <c:pt idx="41">
                  <c:v>Mon 42</c:v>
                </c:pt>
                <c:pt idx="42">
                  <c:v>Mon 43</c:v>
                </c:pt>
                <c:pt idx="43">
                  <c:v>Mon 44</c:v>
                </c:pt>
                <c:pt idx="44">
                  <c:v>Mon 45</c:v>
                </c:pt>
                <c:pt idx="45">
                  <c:v>Mon 46</c:v>
                </c:pt>
                <c:pt idx="46">
                  <c:v>Mon 47</c:v>
                </c:pt>
                <c:pt idx="47">
                  <c:v>Mon 48</c:v>
                </c:pt>
                <c:pt idx="48">
                  <c:v>Mon 49</c:v>
                </c:pt>
                <c:pt idx="49">
                  <c:v>Mon 50</c:v>
                </c:pt>
                <c:pt idx="50">
                  <c:v>Mon 51</c:v>
                </c:pt>
                <c:pt idx="51">
                  <c:v>Mon 52</c:v>
                </c:pt>
                <c:pt idx="52">
                  <c:v>Mon 53</c:v>
                </c:pt>
                <c:pt idx="53">
                  <c:v>Mon 53</c:v>
                </c:pt>
                <c:pt idx="54">
                  <c:v>Mon 55</c:v>
                </c:pt>
                <c:pt idx="55">
                  <c:v>Mon 56</c:v>
                </c:pt>
                <c:pt idx="56">
                  <c:v>Mon 57</c:v>
                </c:pt>
                <c:pt idx="57">
                  <c:v>Mon 58</c:v>
                </c:pt>
                <c:pt idx="58">
                  <c:v>Mon 59</c:v>
                </c:pt>
                <c:pt idx="59">
                  <c:v>Mon 60</c:v>
                </c:pt>
              </c:strCache>
            </c:strRef>
          </c:cat>
          <c:val>
            <c:numRef>
              <c:f>'Monthly Income Statement '!$B$17:$BI$17</c:f>
              <c:numCache>
                <c:formatCode>"$"#,##0</c:formatCode>
                <c:ptCount val="60"/>
                <c:pt idx="0">
                  <c:v>149227.75</c:v>
                </c:pt>
                <c:pt idx="1">
                  <c:v>149779</c:v>
                </c:pt>
                <c:pt idx="2">
                  <c:v>150346.78750000001</c:v>
                </c:pt>
                <c:pt idx="3">
                  <c:v>150931.60862499999</c:v>
                </c:pt>
                <c:pt idx="4">
                  <c:v>151533.97438375</c:v>
                </c:pt>
                <c:pt idx="5">
                  <c:v>152154.41111526251</c:v>
                </c:pt>
                <c:pt idx="6">
                  <c:v>152793.46094872037</c:v>
                </c:pt>
                <c:pt idx="7">
                  <c:v>153451.682277182</c:v>
                </c:pt>
                <c:pt idx="8">
                  <c:v>154129.65024549744</c:v>
                </c:pt>
                <c:pt idx="9">
                  <c:v>154827.95725286237</c:v>
                </c:pt>
                <c:pt idx="10">
                  <c:v>155547.21347044825</c:v>
                </c:pt>
                <c:pt idx="11">
                  <c:v>156288.04737456169</c:v>
                </c:pt>
                <c:pt idx="12">
                  <c:v>220734.81877868457</c:v>
                </c:pt>
                <c:pt idx="13">
                  <c:v>215650.793156553</c:v>
                </c:pt>
                <c:pt idx="14">
                  <c:v>219690.96413887496</c:v>
                </c:pt>
                <c:pt idx="15">
                  <c:v>224135.15221942915</c:v>
                </c:pt>
                <c:pt idx="16">
                  <c:v>229023.75910803871</c:v>
                </c:pt>
                <c:pt idx="17">
                  <c:v>234401.22668550926</c:v>
                </c:pt>
                <c:pt idx="18">
                  <c:v>240316.44102072687</c:v>
                </c:pt>
                <c:pt idx="19">
                  <c:v>246823.1767894662</c:v>
                </c:pt>
                <c:pt idx="20">
                  <c:v>253980.5861350795</c:v>
                </c:pt>
                <c:pt idx="21">
                  <c:v>261853.73641525413</c:v>
                </c:pt>
                <c:pt idx="22">
                  <c:v>270514.2017234462</c:v>
                </c:pt>
                <c:pt idx="23">
                  <c:v>280040.71356245747</c:v>
                </c:pt>
                <c:pt idx="24">
                  <c:v>391679.43924058037</c:v>
                </c:pt>
                <c:pt idx="25">
                  <c:v>375959.92232760938</c:v>
                </c:pt>
                <c:pt idx="26">
                  <c:v>381736.56094398984</c:v>
                </c:pt>
                <c:pt idx="27">
                  <c:v>387802.03149118932</c:v>
                </c:pt>
                <c:pt idx="28">
                  <c:v>394170.7755657488</c:v>
                </c:pt>
                <c:pt idx="29">
                  <c:v>400857.95684403623</c:v>
                </c:pt>
                <c:pt idx="30">
                  <c:v>407879.49718623806</c:v>
                </c:pt>
                <c:pt idx="31">
                  <c:v>415252.11454554996</c:v>
                </c:pt>
                <c:pt idx="32">
                  <c:v>422993.3627728275</c:v>
                </c:pt>
                <c:pt idx="33">
                  <c:v>431121.67341146886</c:v>
                </c:pt>
                <c:pt idx="34">
                  <c:v>439656.39958204236</c:v>
                </c:pt>
                <c:pt idx="35">
                  <c:v>448617.86206114449</c:v>
                </c:pt>
                <c:pt idx="36">
                  <c:v>639919.60974753508</c:v>
                </c:pt>
                <c:pt idx="37">
                  <c:v>614974.80871407851</c:v>
                </c:pt>
                <c:pt idx="38">
                  <c:v>625348.82171644911</c:v>
                </c:pt>
                <c:pt idx="39">
                  <c:v>636241.53536893823</c:v>
                </c:pt>
                <c:pt idx="40">
                  <c:v>647678.88470405177</c:v>
                </c:pt>
                <c:pt idx="41">
                  <c:v>659688.10150592111</c:v>
                </c:pt>
                <c:pt idx="42">
                  <c:v>672297.77914788376</c:v>
                </c:pt>
                <c:pt idx="43">
                  <c:v>685537.94067194464</c:v>
                </c:pt>
                <c:pt idx="44">
                  <c:v>699440.11027220846</c:v>
                </c:pt>
                <c:pt idx="45">
                  <c:v>714037.38835248572</c:v>
                </c:pt>
                <c:pt idx="46">
                  <c:v>729364.53033677652</c:v>
                </c:pt>
                <c:pt idx="47">
                  <c:v>745458.02942028211</c:v>
                </c:pt>
                <c:pt idx="48">
                  <c:v>1102597.0706596295</c:v>
                </c:pt>
                <c:pt idx="49">
                  <c:v>1069581.9618241943</c:v>
                </c:pt>
                <c:pt idx="50">
                  <c:v>1088212.1987007374</c:v>
                </c:pt>
                <c:pt idx="51">
                  <c:v>1107773.9474211077</c:v>
                </c:pt>
                <c:pt idx="52">
                  <c:v>1128313.7835774964</c:v>
                </c:pt>
                <c:pt idx="53">
                  <c:v>1149880.6115417047</c:v>
                </c:pt>
                <c:pt idx="54">
                  <c:v>1172525.7809041231</c:v>
                </c:pt>
                <c:pt idx="55">
                  <c:v>1196303.2087346627</c:v>
                </c:pt>
                <c:pt idx="56">
                  <c:v>1221269.5079567293</c:v>
                </c:pt>
                <c:pt idx="57">
                  <c:v>1247484.1221398991</c:v>
                </c:pt>
                <c:pt idx="58">
                  <c:v>1275009.4670322272</c:v>
                </c:pt>
                <c:pt idx="59">
                  <c:v>1303911.0791691721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C8-40C3-B71D-FE21141CC3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349184"/>
        <c:axId val="113361696"/>
      </c:barChart>
      <c:catAx>
        <c:axId val="113349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61696"/>
        <c:crosses val="autoZero"/>
        <c:auto val="1"/>
        <c:lblAlgn val="r"/>
        <c:lblOffset val="100"/>
        <c:noMultiLvlLbl val="0"/>
      </c:catAx>
      <c:valAx>
        <c:axId val="113361696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49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Yearly Total Assets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'Balance Sheet'!$B$2:$F$2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'Balance Sheet'!$B$13:$F$13</c:f>
              <c:numCache>
                <c:formatCode>"$"#,##0</c:formatCode>
                <c:ptCount val="5"/>
                <c:pt idx="0">
                  <c:v>10419894.208194526</c:v>
                </c:pt>
                <c:pt idx="1">
                  <c:v>13542223.471975768</c:v>
                </c:pt>
                <c:pt idx="2">
                  <c:v>21868733.086542532</c:v>
                </c:pt>
                <c:pt idx="3">
                  <c:v>37479128.800627582</c:v>
                </c:pt>
                <c:pt idx="4">
                  <c:v>65936535.276465088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D3-47B7-B6AB-9F22786891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360608"/>
        <c:axId val="113355712"/>
      </c:barChart>
      <c:catAx>
        <c:axId val="113360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55712"/>
        <c:crosses val="autoZero"/>
        <c:auto val="1"/>
        <c:lblAlgn val="r"/>
        <c:lblOffset val="100"/>
        <c:noMultiLvlLbl val="0"/>
      </c:catAx>
      <c:valAx>
        <c:axId val="113355712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606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Yearly Total Capital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'Balance Sheet'!$B$2:$F$2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'Balance Sheet'!$B$24:$F$24</c:f>
              <c:numCache>
                <c:formatCode>"$"#,##0</c:formatCode>
                <c:ptCount val="5"/>
                <c:pt idx="0">
                  <c:v>10419894.208194528</c:v>
                </c:pt>
                <c:pt idx="1">
                  <c:v>13542223.471975774</c:v>
                </c:pt>
                <c:pt idx="2">
                  <c:v>21868733.086542528</c:v>
                </c:pt>
                <c:pt idx="3">
                  <c:v>37479128.800627582</c:v>
                </c:pt>
                <c:pt idx="4">
                  <c:v>65936535.276465073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A8-48D6-96AC-EB64F5BFAA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351904"/>
        <c:axId val="113356800"/>
      </c:barChart>
      <c:catAx>
        <c:axId val="113351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56800"/>
        <c:crosses val="autoZero"/>
        <c:auto val="1"/>
        <c:lblAlgn val="r"/>
        <c:lblOffset val="100"/>
        <c:noMultiLvlLbl val="0"/>
      </c:catAx>
      <c:valAx>
        <c:axId val="113356800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51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Monthly Total Assets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'Monthly Balance Sheet'!$B$13:$BI$13</c:f>
              <c:strCache>
                <c:ptCount val="60"/>
                <c:pt idx="0">
                  <c:v>$10,006,221</c:v>
                </c:pt>
                <c:pt idx="1">
                  <c:v>$10,017,167</c:v>
                </c:pt>
                <c:pt idx="2">
                  <c:v>$10,032,979</c:v>
                </c:pt>
                <c:pt idx="3">
                  <c:v>$10,053,804</c:v>
                </c:pt>
                <c:pt idx="4">
                  <c:v>$10,079,793</c:v>
                </c:pt>
                <c:pt idx="5">
                  <c:v>$10,111,099</c:v>
                </c:pt>
                <c:pt idx="6">
                  <c:v>$10,147,883</c:v>
                </c:pt>
                <c:pt idx="7">
                  <c:v>$10,190,309</c:v>
                </c:pt>
                <c:pt idx="8">
                  <c:v>$10,238,546</c:v>
                </c:pt>
                <c:pt idx="9">
                  <c:v>$10,292,769</c:v>
                </c:pt>
                <c:pt idx="10">
                  <c:v>$10,353,157</c:v>
                </c:pt>
                <c:pt idx="11">
                  <c:v>$10,419,894</c:v>
                </c:pt>
                <c:pt idx="12">
                  <c:v>$10,445,416</c:v>
                </c:pt>
                <c:pt idx="13">
                  <c:v>$10,508,677</c:v>
                </c:pt>
                <c:pt idx="14">
                  <c:v>$10,603,818</c:v>
                </c:pt>
                <c:pt idx="15">
                  <c:v>$10,734,027</c:v>
                </c:pt>
                <c:pt idx="16">
                  <c:v>$10,902,810</c:v>
                </c:pt>
                <c:pt idx="17">
                  <c:v>$11,114,026</c:v>
                </c:pt>
                <c:pt idx="18">
                  <c:v>$11,371,918</c:v>
                </c:pt>
                <c:pt idx="19">
                  <c:v>$11,681,153</c:v>
                </c:pt>
                <c:pt idx="20">
                  <c:v>$12,046,865</c:v>
                </c:pt>
                <c:pt idx="21">
                  <c:v>$12,474,702</c:v>
                </c:pt>
                <c:pt idx="22">
                  <c:v>$12,970,877</c:v>
                </c:pt>
                <c:pt idx="23">
                  <c:v>$13,542,223</c:v>
                </c:pt>
                <c:pt idx="24">
                  <c:v>$13,933,233</c:v>
                </c:pt>
                <c:pt idx="25">
                  <c:v>$14,388,874</c:v>
                </c:pt>
                <c:pt idx="26">
                  <c:v>$14,890,098</c:v>
                </c:pt>
                <c:pt idx="27">
                  <c:v>$15,439,183</c:v>
                </c:pt>
                <c:pt idx="28">
                  <c:v>$16,038,522</c:v>
                </c:pt>
                <c:pt idx="29">
                  <c:v>$16,690,629</c:v>
                </c:pt>
                <c:pt idx="30">
                  <c:v>$17,398,140</c:v>
                </c:pt>
                <c:pt idx="31">
                  <c:v>$18,163,827</c:v>
                </c:pt>
                <c:pt idx="32">
                  <c:v>$18,990,599</c:v>
                </c:pt>
                <c:pt idx="33">
                  <c:v>$19,881,509</c:v>
                </c:pt>
                <c:pt idx="34">
                  <c:v>$20,839,765</c:v>
                </c:pt>
                <c:pt idx="35">
                  <c:v>$21,868,733</c:v>
                </c:pt>
                <c:pt idx="36">
                  <c:v>$22,628,706</c:v>
                </c:pt>
                <c:pt idx="37">
                  <c:v>$23,501,464</c:v>
                </c:pt>
                <c:pt idx="38">
                  <c:v>$24,456,081</c:v>
                </c:pt>
                <c:pt idx="39">
                  <c:v>$25,496,651</c:v>
                </c:pt>
                <c:pt idx="40">
                  <c:v>$26,627,469</c:v>
                </c:pt>
                <c:pt idx="41">
                  <c:v>$27,853,050</c:v>
                </c:pt>
                <c:pt idx="42">
                  <c:v>$29,178,130</c:v>
                </c:pt>
                <c:pt idx="43">
                  <c:v>$30,607,685</c:v>
                </c:pt>
                <c:pt idx="44">
                  <c:v>$32,146,940</c:v>
                </c:pt>
                <c:pt idx="45">
                  <c:v>$33,801,377</c:v>
                </c:pt>
                <c:pt idx="46">
                  <c:v>$35,576,758</c:v>
                </c:pt>
                <c:pt idx="47">
                  <c:v>$37,479,129</c:v>
                </c:pt>
                <c:pt idx="48">
                  <c:v>$38,890,012</c:v>
                </c:pt>
                <c:pt idx="49">
                  <c:v>$40,491,661</c:v>
                </c:pt>
                <c:pt idx="50">
                  <c:v>$42,240,316</c:v>
                </c:pt>
                <c:pt idx="51">
                  <c:v>$44,143,328</c:v>
                </c:pt>
                <c:pt idx="52">
                  <c:v>$46,208,416</c:v>
                </c:pt>
                <c:pt idx="53">
                  <c:v>$48,443,682</c:v>
                </c:pt>
                <c:pt idx="54">
                  <c:v>$50,857,635</c:v>
                </c:pt>
                <c:pt idx="55">
                  <c:v>$53,459,211</c:v>
                </c:pt>
                <c:pt idx="56">
                  <c:v>$56,257,790</c:v>
                </c:pt>
                <c:pt idx="57">
                  <c:v>$59,263,223</c:v>
                </c:pt>
                <c:pt idx="58">
                  <c:v>$62,485,851</c:v>
                </c:pt>
                <c:pt idx="59">
                  <c:v>$65,936,535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'Monthly Balance Sheet'!$B$2:$BI$2</c:f>
              <c:strCache>
                <c:ptCount val="60"/>
                <c:pt idx="0">
                  <c:v>Mon 1</c:v>
                </c:pt>
                <c:pt idx="1">
                  <c:v>Mon 2</c:v>
                </c:pt>
                <c:pt idx="2">
                  <c:v>Mon 3</c:v>
                </c:pt>
                <c:pt idx="3">
                  <c:v>Mon 4</c:v>
                </c:pt>
                <c:pt idx="4">
                  <c:v>Mon 5</c:v>
                </c:pt>
                <c:pt idx="5">
                  <c:v>Mon 6</c:v>
                </c:pt>
                <c:pt idx="6">
                  <c:v>Mon 7</c:v>
                </c:pt>
                <c:pt idx="7">
                  <c:v>Mon 8</c:v>
                </c:pt>
                <c:pt idx="8">
                  <c:v>Mon 9</c:v>
                </c:pt>
                <c:pt idx="9">
                  <c:v>Mon 10</c:v>
                </c:pt>
                <c:pt idx="10">
                  <c:v>Mon 11</c:v>
                </c:pt>
                <c:pt idx="11">
                  <c:v>Mon 12</c:v>
                </c:pt>
                <c:pt idx="12">
                  <c:v>Mon 13</c:v>
                </c:pt>
                <c:pt idx="13">
                  <c:v>Mon 14</c:v>
                </c:pt>
                <c:pt idx="14">
                  <c:v>Mon 15</c:v>
                </c:pt>
                <c:pt idx="15">
                  <c:v>Mon 16</c:v>
                </c:pt>
                <c:pt idx="16">
                  <c:v>Mon 17</c:v>
                </c:pt>
                <c:pt idx="17">
                  <c:v>Mon 18</c:v>
                </c:pt>
                <c:pt idx="18">
                  <c:v>Mon 19</c:v>
                </c:pt>
                <c:pt idx="19">
                  <c:v>Mon 20</c:v>
                </c:pt>
                <c:pt idx="20">
                  <c:v>Mon 21</c:v>
                </c:pt>
                <c:pt idx="21">
                  <c:v>Mon 22</c:v>
                </c:pt>
                <c:pt idx="22">
                  <c:v>Mon 23</c:v>
                </c:pt>
                <c:pt idx="23">
                  <c:v>Mon 24</c:v>
                </c:pt>
                <c:pt idx="24">
                  <c:v>Mon 25</c:v>
                </c:pt>
                <c:pt idx="25">
                  <c:v>Mon 26</c:v>
                </c:pt>
                <c:pt idx="26">
                  <c:v>Mon 27</c:v>
                </c:pt>
                <c:pt idx="27">
                  <c:v>Mon 28</c:v>
                </c:pt>
                <c:pt idx="28">
                  <c:v>Mon 29</c:v>
                </c:pt>
                <c:pt idx="29">
                  <c:v>Mon 30</c:v>
                </c:pt>
                <c:pt idx="30">
                  <c:v>Mon 31</c:v>
                </c:pt>
                <c:pt idx="31">
                  <c:v>Mon 32</c:v>
                </c:pt>
                <c:pt idx="32">
                  <c:v>Mon 33</c:v>
                </c:pt>
                <c:pt idx="33">
                  <c:v>Mon 34</c:v>
                </c:pt>
                <c:pt idx="34">
                  <c:v>Mon 35</c:v>
                </c:pt>
                <c:pt idx="35">
                  <c:v>Mon 36</c:v>
                </c:pt>
                <c:pt idx="36">
                  <c:v>Mon 37</c:v>
                </c:pt>
                <c:pt idx="37">
                  <c:v>Mon 38</c:v>
                </c:pt>
                <c:pt idx="38">
                  <c:v>Mon 39</c:v>
                </c:pt>
                <c:pt idx="39">
                  <c:v>Mon 40</c:v>
                </c:pt>
                <c:pt idx="40">
                  <c:v>Mon 41</c:v>
                </c:pt>
                <c:pt idx="41">
                  <c:v>Mon 42</c:v>
                </c:pt>
                <c:pt idx="42">
                  <c:v>Mon 43</c:v>
                </c:pt>
                <c:pt idx="43">
                  <c:v>Mon 44</c:v>
                </c:pt>
                <c:pt idx="44">
                  <c:v>Mon 45</c:v>
                </c:pt>
                <c:pt idx="45">
                  <c:v>Mon 46</c:v>
                </c:pt>
                <c:pt idx="46">
                  <c:v>Mon 47</c:v>
                </c:pt>
                <c:pt idx="47">
                  <c:v>Mon 48</c:v>
                </c:pt>
                <c:pt idx="48">
                  <c:v>Mon 49</c:v>
                </c:pt>
                <c:pt idx="49">
                  <c:v>Mon 50</c:v>
                </c:pt>
                <c:pt idx="50">
                  <c:v>Mon 51</c:v>
                </c:pt>
                <c:pt idx="51">
                  <c:v>Mon 52</c:v>
                </c:pt>
                <c:pt idx="52">
                  <c:v>Mon 53</c:v>
                </c:pt>
                <c:pt idx="53">
                  <c:v>Mon 54</c:v>
                </c:pt>
                <c:pt idx="54">
                  <c:v>Mon 55</c:v>
                </c:pt>
                <c:pt idx="55">
                  <c:v>Mon 56</c:v>
                </c:pt>
                <c:pt idx="56">
                  <c:v>Mon 57</c:v>
                </c:pt>
                <c:pt idx="57">
                  <c:v>Mon 58</c:v>
                </c:pt>
                <c:pt idx="58">
                  <c:v>Mon 59</c:v>
                </c:pt>
                <c:pt idx="59">
                  <c:v>Mon 60</c:v>
                </c:pt>
              </c:strCache>
            </c:strRef>
          </c:cat>
          <c:val>
            <c:numRef>
              <c:f>'Monthly Balance Sheet'!$B$13:$BI$13</c:f>
              <c:numCache>
                <c:formatCode>"$"#,##0</c:formatCode>
                <c:ptCount val="60"/>
                <c:pt idx="0">
                  <c:v>10006220.796021007</c:v>
                </c:pt>
                <c:pt idx="1">
                  <c:v>10017166.592042014</c:v>
                </c:pt>
                <c:pt idx="2">
                  <c:v>10032979.138063021</c:v>
                </c:pt>
                <c:pt idx="3">
                  <c:v>10053804.436584029</c:v>
                </c:pt>
                <c:pt idx="4">
                  <c:v>10079792.870180035</c:v>
                </c:pt>
                <c:pt idx="5">
                  <c:v>10111099.332903294</c:v>
                </c:pt>
                <c:pt idx="6">
                  <c:v>10147883.365627617</c:v>
                </c:pt>
                <c:pt idx="7">
                  <c:v>10190309.295453042</c:v>
                </c:pt>
                <c:pt idx="8">
                  <c:v>10238546.379292598</c:v>
                </c:pt>
                <c:pt idx="9">
                  <c:v>10292768.951766713</c:v>
                </c:pt>
                <c:pt idx="10">
                  <c:v>10353156.57753442</c:v>
                </c:pt>
                <c:pt idx="11">
                  <c:v>10419894.208194526</c:v>
                </c:pt>
                <c:pt idx="12">
                  <c:v>10445416.212964831</c:v>
                </c:pt>
                <c:pt idx="13">
                  <c:v>10508676.977878768</c:v>
                </c:pt>
                <c:pt idx="14">
                  <c:v>10603817.779784037</c:v>
                </c:pt>
                <c:pt idx="15">
                  <c:v>10734026.622379769</c:v>
                </c:pt>
                <c:pt idx="16">
                  <c:v>10902810.309735011</c:v>
                </c:pt>
                <c:pt idx="17">
                  <c:v>11114026.326325716</c:v>
                </c:pt>
                <c:pt idx="18">
                  <c:v>11371917.905075429</c:v>
                </c:pt>
                <c:pt idx="19">
                  <c:v>11681152.602200052</c:v>
                </c:pt>
                <c:pt idx="20">
                  <c:v>12046864.729537075</c:v>
                </c:pt>
                <c:pt idx="21">
                  <c:v>12474702.030107737</c:v>
                </c:pt>
                <c:pt idx="22">
                  <c:v>12970877.021235399</c:v>
                </c:pt>
                <c:pt idx="23">
                  <c:v>13542223.471975768</c:v>
                </c:pt>
                <c:pt idx="24">
                  <c:v>13933232.605211461</c:v>
                </c:pt>
                <c:pt idx="25">
                  <c:v>14388874.333873492</c:v>
                </c:pt>
                <c:pt idx="26">
                  <c:v>14890098.156358175</c:v>
                </c:pt>
                <c:pt idx="27">
                  <c:v>15439183.177356647</c:v>
                </c:pt>
                <c:pt idx="28">
                  <c:v>16038522.456794593</c:v>
                </c:pt>
                <c:pt idx="29">
                  <c:v>16690628.707593989</c:v>
                </c:pt>
                <c:pt idx="30">
                  <c:v>17398140.278322909</c:v>
                </c:pt>
                <c:pt idx="31">
                  <c:v>18163827.434977822</c:v>
                </c:pt>
                <c:pt idx="32">
                  <c:v>18990598.956855033</c:v>
                </c:pt>
                <c:pt idx="33">
                  <c:v>19881509.062215656</c:v>
                </c:pt>
                <c:pt idx="34">
                  <c:v>20839764.680233862</c:v>
                </c:pt>
                <c:pt idx="35">
                  <c:v>21868733.086542532</c:v>
                </c:pt>
                <c:pt idx="36">
                  <c:v>22628705.801205043</c:v>
                </c:pt>
                <c:pt idx="37">
                  <c:v>23501464.178374454</c:v>
                </c:pt>
                <c:pt idx="38">
                  <c:v>24456081.447088607</c:v>
                </c:pt>
                <c:pt idx="39">
                  <c:v>25496650.551924746</c:v>
                </c:pt>
                <c:pt idx="40">
                  <c:v>26627469.084688969</c:v>
                </c:pt>
                <c:pt idx="41">
                  <c:v>27853049.516777679</c:v>
                </c:pt>
                <c:pt idx="42">
                  <c:v>29178129.943157103</c:v>
                </c:pt>
                <c:pt idx="43">
                  <c:v>30607685.363541774</c:v>
                </c:pt>
                <c:pt idx="44">
                  <c:v>32146939.527631953</c:v>
                </c:pt>
                <c:pt idx="45">
                  <c:v>33801377.372612916</c:v>
                </c:pt>
                <c:pt idx="46">
                  <c:v>35576758.082529202</c:v>
                </c:pt>
                <c:pt idx="47">
                  <c:v>37479128.800627582</c:v>
                </c:pt>
                <c:pt idx="48">
                  <c:v>38890012.478684254</c:v>
                </c:pt>
                <c:pt idx="49">
                  <c:v>40491660.832336694</c:v>
                </c:pt>
                <c:pt idx="50">
                  <c:v>42240315.994210921</c:v>
                </c:pt>
                <c:pt idx="51">
                  <c:v>44143328.304718018</c:v>
                </c:pt>
                <c:pt idx="52">
                  <c:v>46208415.621289656</c:v>
                </c:pt>
                <c:pt idx="53">
                  <c:v>48443681.694229044</c:v>
                </c:pt>
                <c:pt idx="54">
                  <c:v>50857635.461354576</c:v>
                </c:pt>
                <c:pt idx="55">
                  <c:v>53459211.30737555</c:v>
                </c:pt>
                <c:pt idx="56">
                  <c:v>56257790.33623673</c:v>
                </c:pt>
                <c:pt idx="57">
                  <c:v>59263222.707080156</c:v>
                </c:pt>
                <c:pt idx="58">
                  <c:v>62485851.087004915</c:v>
                </c:pt>
                <c:pt idx="59">
                  <c:v>65936535.276465088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ED-4B30-A0B9-DE29E1DC57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347552"/>
        <c:axId val="113348640"/>
      </c:barChart>
      <c:catAx>
        <c:axId val="11334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48640"/>
        <c:crosses val="autoZero"/>
        <c:auto val="1"/>
        <c:lblAlgn val="r"/>
        <c:lblOffset val="100"/>
        <c:noMultiLvlLbl val="0"/>
      </c:catAx>
      <c:valAx>
        <c:axId val="113348640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47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Monthly Total Capital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'Monthly Balance Sheet'!$B$20:$BI$20</c:f>
              <c:strCache>
                <c:ptCount val="60"/>
                <c:pt idx="0">
                  <c:v>$10,000,000</c:v>
                </c:pt>
                <c:pt idx="1">
                  <c:v>$10,000,000</c:v>
                </c:pt>
                <c:pt idx="2">
                  <c:v>$10,000,000</c:v>
                </c:pt>
                <c:pt idx="3">
                  <c:v>$10,000,000</c:v>
                </c:pt>
                <c:pt idx="4">
                  <c:v>$10,000,000</c:v>
                </c:pt>
                <c:pt idx="5">
                  <c:v>$10,000,000</c:v>
                </c:pt>
                <c:pt idx="6">
                  <c:v>$10,000,000</c:v>
                </c:pt>
                <c:pt idx="7">
                  <c:v>$10,000,000</c:v>
                </c:pt>
                <c:pt idx="8">
                  <c:v>$10,000,000</c:v>
                </c:pt>
                <c:pt idx="9">
                  <c:v>$10,000,000</c:v>
                </c:pt>
                <c:pt idx="10">
                  <c:v>$10,000,000</c:v>
                </c:pt>
                <c:pt idx="11">
                  <c:v>$10,000,000</c:v>
                </c:pt>
                <c:pt idx="12">
                  <c:v>$10,000,000</c:v>
                </c:pt>
                <c:pt idx="13">
                  <c:v>$10,000,000</c:v>
                </c:pt>
                <c:pt idx="14">
                  <c:v>$10,000,000</c:v>
                </c:pt>
                <c:pt idx="15">
                  <c:v>$10,000,000</c:v>
                </c:pt>
                <c:pt idx="16">
                  <c:v>$10,000,000</c:v>
                </c:pt>
                <c:pt idx="17">
                  <c:v>$10,000,000</c:v>
                </c:pt>
                <c:pt idx="18">
                  <c:v>$10,000,000</c:v>
                </c:pt>
                <c:pt idx="19">
                  <c:v>$10,000,000</c:v>
                </c:pt>
                <c:pt idx="20">
                  <c:v>$10,000,000</c:v>
                </c:pt>
                <c:pt idx="21">
                  <c:v>$10,000,000</c:v>
                </c:pt>
                <c:pt idx="22">
                  <c:v>$10,000,000</c:v>
                </c:pt>
                <c:pt idx="23">
                  <c:v>$10,000,000</c:v>
                </c:pt>
                <c:pt idx="24">
                  <c:v>$10,000,000</c:v>
                </c:pt>
                <c:pt idx="25">
                  <c:v>$10,000,000</c:v>
                </c:pt>
                <c:pt idx="26">
                  <c:v>$10,000,000</c:v>
                </c:pt>
                <c:pt idx="27">
                  <c:v>$10,000,000</c:v>
                </c:pt>
                <c:pt idx="28">
                  <c:v>$10,000,000</c:v>
                </c:pt>
                <c:pt idx="29">
                  <c:v>$10,000,000</c:v>
                </c:pt>
                <c:pt idx="30">
                  <c:v>$10,000,000</c:v>
                </c:pt>
                <c:pt idx="31">
                  <c:v>$10,000,000</c:v>
                </c:pt>
                <c:pt idx="32">
                  <c:v>$10,000,000</c:v>
                </c:pt>
                <c:pt idx="33">
                  <c:v>$10,000,000</c:v>
                </c:pt>
                <c:pt idx="34">
                  <c:v>$10,000,000</c:v>
                </c:pt>
                <c:pt idx="35">
                  <c:v>$10,000,000</c:v>
                </c:pt>
                <c:pt idx="36">
                  <c:v>$10,000,000</c:v>
                </c:pt>
                <c:pt idx="37">
                  <c:v>$10,000,000</c:v>
                </c:pt>
                <c:pt idx="38">
                  <c:v>$10,000,000</c:v>
                </c:pt>
                <c:pt idx="39">
                  <c:v>$10,000,000</c:v>
                </c:pt>
                <c:pt idx="40">
                  <c:v>$10,000,000</c:v>
                </c:pt>
                <c:pt idx="41">
                  <c:v>$10,000,000</c:v>
                </c:pt>
                <c:pt idx="42">
                  <c:v>$10,000,000</c:v>
                </c:pt>
                <c:pt idx="43">
                  <c:v>$10,000,000</c:v>
                </c:pt>
                <c:pt idx="44">
                  <c:v>$10,000,000</c:v>
                </c:pt>
                <c:pt idx="45">
                  <c:v>$10,000,000</c:v>
                </c:pt>
                <c:pt idx="46">
                  <c:v>$10,000,000</c:v>
                </c:pt>
                <c:pt idx="47">
                  <c:v>$10,000,000</c:v>
                </c:pt>
                <c:pt idx="48">
                  <c:v>$10,000,000</c:v>
                </c:pt>
                <c:pt idx="49">
                  <c:v>$10,000,000</c:v>
                </c:pt>
                <c:pt idx="50">
                  <c:v>$10,000,000</c:v>
                </c:pt>
                <c:pt idx="51">
                  <c:v>$10,000,000</c:v>
                </c:pt>
                <c:pt idx="52">
                  <c:v>$10,000,000</c:v>
                </c:pt>
                <c:pt idx="53">
                  <c:v>$10,000,000</c:v>
                </c:pt>
                <c:pt idx="54">
                  <c:v>$10,000,000</c:v>
                </c:pt>
                <c:pt idx="55">
                  <c:v>$10,000,000</c:v>
                </c:pt>
                <c:pt idx="56">
                  <c:v>$10,000,000</c:v>
                </c:pt>
                <c:pt idx="57">
                  <c:v>$10,000,000</c:v>
                </c:pt>
                <c:pt idx="58">
                  <c:v>$10,000,000</c:v>
                </c:pt>
                <c:pt idx="59">
                  <c:v>$10,000,000</c:v>
                </c:pt>
              </c:strCache>
            </c:strRef>
          </c:tx>
          <c:invertIfNegative val="0"/>
          <c:cat>
            <c:strRef>
              <c:f>'Monthly Balance Sheet'!$B$2:$BI$2</c:f>
              <c:strCache>
                <c:ptCount val="60"/>
                <c:pt idx="0">
                  <c:v>Mon 1</c:v>
                </c:pt>
                <c:pt idx="1">
                  <c:v>Mon 2</c:v>
                </c:pt>
                <c:pt idx="2">
                  <c:v>Mon 3</c:v>
                </c:pt>
                <c:pt idx="3">
                  <c:v>Mon 4</c:v>
                </c:pt>
                <c:pt idx="4">
                  <c:v>Mon 5</c:v>
                </c:pt>
                <c:pt idx="5">
                  <c:v>Mon 6</c:v>
                </c:pt>
                <c:pt idx="6">
                  <c:v>Mon 7</c:v>
                </c:pt>
                <c:pt idx="7">
                  <c:v>Mon 8</c:v>
                </c:pt>
                <c:pt idx="8">
                  <c:v>Mon 9</c:v>
                </c:pt>
                <c:pt idx="9">
                  <c:v>Mon 10</c:v>
                </c:pt>
                <c:pt idx="10">
                  <c:v>Mon 11</c:v>
                </c:pt>
                <c:pt idx="11">
                  <c:v>Mon 12</c:v>
                </c:pt>
                <c:pt idx="12">
                  <c:v>Mon 13</c:v>
                </c:pt>
                <c:pt idx="13">
                  <c:v>Mon 14</c:v>
                </c:pt>
                <c:pt idx="14">
                  <c:v>Mon 15</c:v>
                </c:pt>
                <c:pt idx="15">
                  <c:v>Mon 16</c:v>
                </c:pt>
                <c:pt idx="16">
                  <c:v>Mon 17</c:v>
                </c:pt>
                <c:pt idx="17">
                  <c:v>Mon 18</c:v>
                </c:pt>
                <c:pt idx="18">
                  <c:v>Mon 19</c:v>
                </c:pt>
                <c:pt idx="19">
                  <c:v>Mon 20</c:v>
                </c:pt>
                <c:pt idx="20">
                  <c:v>Mon 21</c:v>
                </c:pt>
                <c:pt idx="21">
                  <c:v>Mon 22</c:v>
                </c:pt>
                <c:pt idx="22">
                  <c:v>Mon 23</c:v>
                </c:pt>
                <c:pt idx="23">
                  <c:v>Mon 24</c:v>
                </c:pt>
                <c:pt idx="24">
                  <c:v>Mon 25</c:v>
                </c:pt>
                <c:pt idx="25">
                  <c:v>Mon 26</c:v>
                </c:pt>
                <c:pt idx="26">
                  <c:v>Mon 27</c:v>
                </c:pt>
                <c:pt idx="27">
                  <c:v>Mon 28</c:v>
                </c:pt>
                <c:pt idx="28">
                  <c:v>Mon 29</c:v>
                </c:pt>
                <c:pt idx="29">
                  <c:v>Mon 30</c:v>
                </c:pt>
                <c:pt idx="30">
                  <c:v>Mon 31</c:v>
                </c:pt>
                <c:pt idx="31">
                  <c:v>Mon 32</c:v>
                </c:pt>
                <c:pt idx="32">
                  <c:v>Mon 33</c:v>
                </c:pt>
                <c:pt idx="33">
                  <c:v>Mon 34</c:v>
                </c:pt>
                <c:pt idx="34">
                  <c:v>Mon 35</c:v>
                </c:pt>
                <c:pt idx="35">
                  <c:v>Mon 36</c:v>
                </c:pt>
                <c:pt idx="36">
                  <c:v>Mon 37</c:v>
                </c:pt>
                <c:pt idx="37">
                  <c:v>Mon 38</c:v>
                </c:pt>
                <c:pt idx="38">
                  <c:v>Mon 39</c:v>
                </c:pt>
                <c:pt idx="39">
                  <c:v>Mon 40</c:v>
                </c:pt>
                <c:pt idx="40">
                  <c:v>Mon 41</c:v>
                </c:pt>
                <c:pt idx="41">
                  <c:v>Mon 42</c:v>
                </c:pt>
                <c:pt idx="42">
                  <c:v>Mon 43</c:v>
                </c:pt>
                <c:pt idx="43">
                  <c:v>Mon 44</c:v>
                </c:pt>
                <c:pt idx="44">
                  <c:v>Mon 45</c:v>
                </c:pt>
                <c:pt idx="45">
                  <c:v>Mon 46</c:v>
                </c:pt>
                <c:pt idx="46">
                  <c:v>Mon 47</c:v>
                </c:pt>
                <c:pt idx="47">
                  <c:v>Mon 48</c:v>
                </c:pt>
                <c:pt idx="48">
                  <c:v>Mon 49</c:v>
                </c:pt>
                <c:pt idx="49">
                  <c:v>Mon 50</c:v>
                </c:pt>
                <c:pt idx="50">
                  <c:v>Mon 51</c:v>
                </c:pt>
                <c:pt idx="51">
                  <c:v>Mon 52</c:v>
                </c:pt>
                <c:pt idx="52">
                  <c:v>Mon 53</c:v>
                </c:pt>
                <c:pt idx="53">
                  <c:v>Mon 54</c:v>
                </c:pt>
                <c:pt idx="54">
                  <c:v>Mon 55</c:v>
                </c:pt>
                <c:pt idx="55">
                  <c:v>Mon 56</c:v>
                </c:pt>
                <c:pt idx="56">
                  <c:v>Mon 57</c:v>
                </c:pt>
                <c:pt idx="57">
                  <c:v>Mon 58</c:v>
                </c:pt>
                <c:pt idx="58">
                  <c:v>Mon 59</c:v>
                </c:pt>
                <c:pt idx="59">
                  <c:v>Mon 60</c:v>
                </c:pt>
              </c:strCache>
            </c:strRef>
          </c:cat>
          <c:val>
            <c:numRef>
              <c:f>'Monthly Balance Sheet'!$B$23:$BI$23</c:f>
              <c:numCache>
                <c:formatCode>"$"#,##0</c:formatCode>
                <c:ptCount val="60"/>
                <c:pt idx="0">
                  <c:v>10006220.796021007</c:v>
                </c:pt>
                <c:pt idx="1">
                  <c:v>10017166.592042014</c:v>
                </c:pt>
                <c:pt idx="2">
                  <c:v>10032979.138063021</c:v>
                </c:pt>
                <c:pt idx="3">
                  <c:v>10053804.436584027</c:v>
                </c:pt>
                <c:pt idx="4">
                  <c:v>10079792.870180037</c:v>
                </c:pt>
                <c:pt idx="5">
                  <c:v>10111099.332903294</c:v>
                </c:pt>
                <c:pt idx="6">
                  <c:v>10147883.365627619</c:v>
                </c:pt>
                <c:pt idx="7">
                  <c:v>10190309.295453044</c:v>
                </c:pt>
                <c:pt idx="8">
                  <c:v>10238546.3792926</c:v>
                </c:pt>
                <c:pt idx="9">
                  <c:v>10292768.951766713</c:v>
                </c:pt>
                <c:pt idx="10">
                  <c:v>10353156.577534419</c:v>
                </c:pt>
                <c:pt idx="11">
                  <c:v>10419894.208194528</c:v>
                </c:pt>
                <c:pt idx="12">
                  <c:v>10445416.212964831</c:v>
                </c:pt>
                <c:pt idx="13">
                  <c:v>10508676.977878768</c:v>
                </c:pt>
                <c:pt idx="14">
                  <c:v>10603817.779784037</c:v>
                </c:pt>
                <c:pt idx="15">
                  <c:v>10734026.622379771</c:v>
                </c:pt>
                <c:pt idx="16">
                  <c:v>10902810.309735015</c:v>
                </c:pt>
                <c:pt idx="17">
                  <c:v>11114026.32632572</c:v>
                </c:pt>
                <c:pt idx="18">
                  <c:v>11371917.905075435</c:v>
                </c:pt>
                <c:pt idx="19">
                  <c:v>11681152.602200055</c:v>
                </c:pt>
                <c:pt idx="20">
                  <c:v>12046864.729537077</c:v>
                </c:pt>
                <c:pt idx="21">
                  <c:v>12474702.030107738</c:v>
                </c:pt>
                <c:pt idx="22">
                  <c:v>12970877.021235403</c:v>
                </c:pt>
                <c:pt idx="23">
                  <c:v>13542223.471975774</c:v>
                </c:pt>
                <c:pt idx="24">
                  <c:v>13933232.605211467</c:v>
                </c:pt>
                <c:pt idx="25">
                  <c:v>14388874.333873497</c:v>
                </c:pt>
                <c:pt idx="26">
                  <c:v>14890098.156358181</c:v>
                </c:pt>
                <c:pt idx="27">
                  <c:v>15439183.177356653</c:v>
                </c:pt>
                <c:pt idx="28">
                  <c:v>16038522.456794597</c:v>
                </c:pt>
                <c:pt idx="29">
                  <c:v>16690628.707593992</c:v>
                </c:pt>
                <c:pt idx="30">
                  <c:v>17398140.278322905</c:v>
                </c:pt>
                <c:pt idx="31">
                  <c:v>18163827.434977818</c:v>
                </c:pt>
                <c:pt idx="32">
                  <c:v>18990598.956855033</c:v>
                </c:pt>
                <c:pt idx="33">
                  <c:v>19881509.062215652</c:v>
                </c:pt>
                <c:pt idx="34">
                  <c:v>20839764.680233862</c:v>
                </c:pt>
                <c:pt idx="35">
                  <c:v>21868733.086542528</c:v>
                </c:pt>
                <c:pt idx="36">
                  <c:v>22628705.801205043</c:v>
                </c:pt>
                <c:pt idx="37">
                  <c:v>23501464.178374451</c:v>
                </c:pt>
                <c:pt idx="38">
                  <c:v>24456081.44708861</c:v>
                </c:pt>
                <c:pt idx="39">
                  <c:v>25496650.55192475</c:v>
                </c:pt>
                <c:pt idx="40">
                  <c:v>26627469.084688973</c:v>
                </c:pt>
                <c:pt idx="41">
                  <c:v>27853049.516777687</c:v>
                </c:pt>
                <c:pt idx="42">
                  <c:v>29178129.94315711</c:v>
                </c:pt>
                <c:pt idx="43">
                  <c:v>30607685.363541778</c:v>
                </c:pt>
                <c:pt idx="44">
                  <c:v>32146939.527631957</c:v>
                </c:pt>
                <c:pt idx="45">
                  <c:v>33801377.372612923</c:v>
                </c:pt>
                <c:pt idx="46">
                  <c:v>35576758.08252921</c:v>
                </c:pt>
                <c:pt idx="47">
                  <c:v>37479128.800627582</c:v>
                </c:pt>
                <c:pt idx="48">
                  <c:v>38890012.478684261</c:v>
                </c:pt>
                <c:pt idx="49">
                  <c:v>40491660.832336694</c:v>
                </c:pt>
                <c:pt idx="50">
                  <c:v>42240315.994210921</c:v>
                </c:pt>
                <c:pt idx="51">
                  <c:v>44143328.304718025</c:v>
                </c:pt>
                <c:pt idx="52">
                  <c:v>46208415.621289656</c:v>
                </c:pt>
                <c:pt idx="53">
                  <c:v>48443681.694229037</c:v>
                </c:pt>
                <c:pt idx="54">
                  <c:v>50857635.461354561</c:v>
                </c:pt>
                <c:pt idx="55">
                  <c:v>53459211.307375535</c:v>
                </c:pt>
                <c:pt idx="56">
                  <c:v>56257790.336236723</c:v>
                </c:pt>
                <c:pt idx="57">
                  <c:v>59263222.707080141</c:v>
                </c:pt>
                <c:pt idx="58">
                  <c:v>62485851.0870049</c:v>
                </c:pt>
                <c:pt idx="59">
                  <c:v>65936535.276465073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BE-4B7A-B18E-E50DB00DD7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350816"/>
        <c:axId val="113358432"/>
      </c:barChart>
      <c:catAx>
        <c:axId val="113350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58432"/>
        <c:crosses val="autoZero"/>
        <c:auto val="1"/>
        <c:lblAlgn val="r"/>
        <c:lblOffset val="100"/>
        <c:noMultiLvlLbl val="0"/>
      </c:catAx>
      <c:valAx>
        <c:axId val="113358432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3508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Actual Sales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7479221347332"/>
          <c:y val="0.137612915573053"/>
          <c:w val="0.84705781568971095"/>
          <c:h val="0.72331884295713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'Break Even Analysis'!$B$2:$F$2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'Break Even Analysis'!$B$3:$F$3</c:f>
              <c:numCache>
                <c:formatCode>"$"#,##0</c:formatCode>
                <c:ptCount val="5"/>
                <c:pt idx="0">
                  <c:v>3725407.7599040661</c:v>
                </c:pt>
                <c:pt idx="1">
                  <c:v>11220280.877145521</c:v>
                </c:pt>
                <c:pt idx="2">
                  <c:v>25019724.549606074</c:v>
                </c:pt>
                <c:pt idx="3">
                  <c:v>44931830.607741259</c:v>
                </c:pt>
                <c:pt idx="4">
                  <c:v>80691112.236666903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6E-4542-A107-A43AEECCC2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0008352"/>
        <c:axId val="2130000192"/>
      </c:barChart>
      <c:catAx>
        <c:axId val="2130008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0000192"/>
        <c:crosses val="autoZero"/>
        <c:auto val="1"/>
        <c:lblAlgn val="r"/>
        <c:lblOffset val="100"/>
        <c:noMultiLvlLbl val="0"/>
      </c:catAx>
      <c:valAx>
        <c:axId val="2130000192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0008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Break Even Sales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'Break Even Analysis'!$B$2:$F$2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'Break Even Analysis'!$B$14:$F$14</c:f>
              <c:numCache>
                <c:formatCode>"$"#,##0</c:formatCode>
                <c:ptCount val="5"/>
                <c:pt idx="0">
                  <c:v>4511710.7198270978</c:v>
                </c:pt>
                <c:pt idx="1">
                  <c:v>10632125.945333518</c:v>
                </c:pt>
                <c:pt idx="2">
                  <c:v>22233206.786781289</c:v>
                </c:pt>
                <c:pt idx="3">
                  <c:v>39106588.718461119</c:v>
                </c:pt>
                <c:pt idx="4">
                  <c:v>69595163.488642305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FD-4A44-9431-9595E531BA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0006720"/>
        <c:axId val="2130009440"/>
      </c:barChart>
      <c:catAx>
        <c:axId val="21300067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0009440"/>
        <c:crosses val="autoZero"/>
        <c:auto val="1"/>
        <c:lblAlgn val="r"/>
        <c:lblOffset val="100"/>
        <c:noMultiLvlLbl val="0"/>
      </c:catAx>
      <c:valAx>
        <c:axId val="2130009440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00067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Yearly Cash Balance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'Cash Flows'!$B$2:$F$2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'Cash Flows'!$B$27:$F$27</c:f>
              <c:numCache>
                <c:formatCode>"$"#,##0</c:formatCode>
                <c:ptCount val="5"/>
                <c:pt idx="0">
                  <c:v>5960166.3200659286</c:v>
                </c:pt>
                <c:pt idx="1">
                  <c:v>8787632.7616350967</c:v>
                </c:pt>
                <c:pt idx="2">
                  <c:v>16769461.767562</c:v>
                </c:pt>
                <c:pt idx="3">
                  <c:v>31677890.336559795</c:v>
                </c:pt>
                <c:pt idx="4">
                  <c:v>58768417.854708701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E8-46CC-B9F7-F98E0E1972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0009984"/>
        <c:axId val="2130008896"/>
      </c:barChart>
      <c:catAx>
        <c:axId val="2130009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0008896"/>
        <c:crosses val="autoZero"/>
        <c:auto val="1"/>
        <c:lblAlgn val="r"/>
        <c:lblOffset val="100"/>
        <c:noMultiLvlLbl val="0"/>
      </c:catAx>
      <c:valAx>
        <c:axId val="2130008896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0009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AU"/>
              <a:t>Monthly Cash Balance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'Monthly Cash Flows'!$B$27:$BI$27</c:f>
              <c:strCache>
                <c:ptCount val="60"/>
                <c:pt idx="0">
                  <c:v>$5,514,846</c:v>
                </c:pt>
                <c:pt idx="1">
                  <c:v>$5,482,842</c:v>
                </c:pt>
                <c:pt idx="2">
                  <c:v>$5,506,582</c:v>
                </c:pt>
                <c:pt idx="3">
                  <c:v>$5,535,239</c:v>
                </c:pt>
                <c:pt idx="4">
                  <c:v>$5,568,960</c:v>
                </c:pt>
                <c:pt idx="5">
                  <c:v>$5,607,898</c:v>
                </c:pt>
                <c:pt idx="6">
                  <c:v>$5,652,209</c:v>
                </c:pt>
                <c:pt idx="7">
                  <c:v>$5,702,053</c:v>
                </c:pt>
                <c:pt idx="8">
                  <c:v>$5,757,598</c:v>
                </c:pt>
                <c:pt idx="9">
                  <c:v>$5,819,013</c:v>
                </c:pt>
                <c:pt idx="10">
                  <c:v>$5,886,475</c:v>
                </c:pt>
                <c:pt idx="11">
                  <c:v>$5,960,166</c:v>
                </c:pt>
                <c:pt idx="12">
                  <c:v>$5,962,429</c:v>
                </c:pt>
                <c:pt idx="13">
                  <c:v>$5,994,054</c:v>
                </c:pt>
                <c:pt idx="14">
                  <c:v>$6,078,283</c:v>
                </c:pt>
                <c:pt idx="15">
                  <c:v>$6,195,375</c:v>
                </c:pt>
                <c:pt idx="16">
                  <c:v>$6,348,619</c:v>
                </c:pt>
                <c:pt idx="17">
                  <c:v>$6,541,628</c:v>
                </c:pt>
                <c:pt idx="18">
                  <c:v>$6,778,380</c:v>
                </c:pt>
                <c:pt idx="19">
                  <c:v>$7,063,248</c:v>
                </c:pt>
                <c:pt idx="20">
                  <c:v>$7,401,045</c:v>
                </c:pt>
                <c:pt idx="21">
                  <c:v>$7,797,063</c:v>
                </c:pt>
                <c:pt idx="22">
                  <c:v>$8,257,124</c:v>
                </c:pt>
                <c:pt idx="23">
                  <c:v>$8,787,633</c:v>
                </c:pt>
                <c:pt idx="24">
                  <c:v>$9,147,578</c:v>
                </c:pt>
                <c:pt idx="25">
                  <c:v>$9,583,656</c:v>
                </c:pt>
                <c:pt idx="26">
                  <c:v>$10,063,781</c:v>
                </c:pt>
                <c:pt idx="27">
                  <c:v>$10,590,157</c:v>
                </c:pt>
                <c:pt idx="28">
                  <c:v>$11,165,095</c:v>
                </c:pt>
                <c:pt idx="29">
                  <c:v>$11,791,023</c:v>
                </c:pt>
                <c:pt idx="30">
                  <c:v>$12,470,492</c:v>
                </c:pt>
                <c:pt idx="31">
                  <c:v>$13,206,178</c:v>
                </c:pt>
                <c:pt idx="32">
                  <c:v>$14,000,892</c:v>
                </c:pt>
                <c:pt idx="33">
                  <c:v>$14,857,586</c:v>
                </c:pt>
                <c:pt idx="34">
                  <c:v>$15,779,357</c:v>
                </c:pt>
                <c:pt idx="35">
                  <c:v>$16,769,462</c:v>
                </c:pt>
                <c:pt idx="36">
                  <c:v>$17,488,071</c:v>
                </c:pt>
                <c:pt idx="37">
                  <c:v>$18,316,841</c:v>
                </c:pt>
                <c:pt idx="38">
                  <c:v>$19,224,715</c:v>
                </c:pt>
                <c:pt idx="39">
                  <c:v>$20,215,647</c:v>
                </c:pt>
                <c:pt idx="40">
                  <c:v>$21,293,790</c:v>
                </c:pt>
                <c:pt idx="41">
                  <c:v>$22,463,506</c:v>
                </c:pt>
                <c:pt idx="42">
                  <c:v>$23,729,371</c:v>
                </c:pt>
                <c:pt idx="43">
                  <c:v>$25,096,195</c:v>
                </c:pt>
                <c:pt idx="44">
                  <c:v>$26,569,025</c:v>
                </c:pt>
                <c:pt idx="45">
                  <c:v>$28,153,161</c:v>
                </c:pt>
                <c:pt idx="46">
                  <c:v>$29,854,168</c:v>
                </c:pt>
                <c:pt idx="47">
                  <c:v>$31,677,890</c:v>
                </c:pt>
                <c:pt idx="48">
                  <c:v>$33,005,637</c:v>
                </c:pt>
                <c:pt idx="49">
                  <c:v>$34,519,435</c:v>
                </c:pt>
                <c:pt idx="50">
                  <c:v>$36,175,292</c:v>
                </c:pt>
                <c:pt idx="51">
                  <c:v>$37,980,309</c:v>
                </c:pt>
                <c:pt idx="52">
                  <c:v>$39,941,946</c:v>
                </c:pt>
                <c:pt idx="53">
                  <c:v>$42,068,032</c:v>
                </c:pt>
                <c:pt idx="54">
                  <c:v>$44,366,791</c:v>
                </c:pt>
                <c:pt idx="55">
                  <c:v>$46,846,855</c:v>
                </c:pt>
                <c:pt idx="56">
                  <c:v>$49,517,292</c:v>
                </c:pt>
                <c:pt idx="57">
                  <c:v>$52,387,618</c:v>
                </c:pt>
                <c:pt idx="58">
                  <c:v>$55,467,829</c:v>
                </c:pt>
                <c:pt idx="59">
                  <c:v>$58,768,418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cat>
            <c:strRef>
              <c:f>'Monthly Cash Flows'!$B$2:$BI$2</c:f>
              <c:strCache>
                <c:ptCount val="60"/>
                <c:pt idx="0">
                  <c:v>Mon 1</c:v>
                </c:pt>
                <c:pt idx="1">
                  <c:v>Mon 2</c:v>
                </c:pt>
                <c:pt idx="2">
                  <c:v>Mon 3</c:v>
                </c:pt>
                <c:pt idx="3">
                  <c:v>Mon 4</c:v>
                </c:pt>
                <c:pt idx="4">
                  <c:v>Mon 5</c:v>
                </c:pt>
                <c:pt idx="5">
                  <c:v>Mon 6</c:v>
                </c:pt>
                <c:pt idx="6">
                  <c:v>Mon 7</c:v>
                </c:pt>
                <c:pt idx="7">
                  <c:v>Mon 8</c:v>
                </c:pt>
                <c:pt idx="8">
                  <c:v>Mon 9</c:v>
                </c:pt>
                <c:pt idx="9">
                  <c:v>Mon 10</c:v>
                </c:pt>
                <c:pt idx="10">
                  <c:v>Mon 11</c:v>
                </c:pt>
                <c:pt idx="11">
                  <c:v>Mon 12</c:v>
                </c:pt>
                <c:pt idx="12">
                  <c:v>Mon 13</c:v>
                </c:pt>
                <c:pt idx="13">
                  <c:v>Mon 14</c:v>
                </c:pt>
                <c:pt idx="14">
                  <c:v>Mon 15</c:v>
                </c:pt>
                <c:pt idx="15">
                  <c:v>Mon 16</c:v>
                </c:pt>
                <c:pt idx="16">
                  <c:v>Mon 17</c:v>
                </c:pt>
                <c:pt idx="17">
                  <c:v>Mon 18</c:v>
                </c:pt>
                <c:pt idx="18">
                  <c:v>Mon 19</c:v>
                </c:pt>
                <c:pt idx="19">
                  <c:v>Mon 20</c:v>
                </c:pt>
                <c:pt idx="20">
                  <c:v>Mon 21</c:v>
                </c:pt>
                <c:pt idx="21">
                  <c:v>Mon 22</c:v>
                </c:pt>
                <c:pt idx="22">
                  <c:v>Mon 23</c:v>
                </c:pt>
                <c:pt idx="23">
                  <c:v>Mon 24</c:v>
                </c:pt>
                <c:pt idx="24">
                  <c:v>Mon 25</c:v>
                </c:pt>
                <c:pt idx="25">
                  <c:v>Mon 26</c:v>
                </c:pt>
                <c:pt idx="26">
                  <c:v>Mon 27</c:v>
                </c:pt>
                <c:pt idx="27">
                  <c:v>Mon 28</c:v>
                </c:pt>
                <c:pt idx="28">
                  <c:v>Mon 29</c:v>
                </c:pt>
                <c:pt idx="29">
                  <c:v>Mon 30</c:v>
                </c:pt>
                <c:pt idx="30">
                  <c:v>Mon 31</c:v>
                </c:pt>
                <c:pt idx="31">
                  <c:v>Mon 32</c:v>
                </c:pt>
                <c:pt idx="32">
                  <c:v>Mon 33</c:v>
                </c:pt>
                <c:pt idx="33">
                  <c:v>Mon 34</c:v>
                </c:pt>
                <c:pt idx="34">
                  <c:v>Mon 35</c:v>
                </c:pt>
                <c:pt idx="35">
                  <c:v>Mon 36</c:v>
                </c:pt>
                <c:pt idx="36">
                  <c:v>Mon 37</c:v>
                </c:pt>
                <c:pt idx="37">
                  <c:v>Mon 38</c:v>
                </c:pt>
                <c:pt idx="38">
                  <c:v>Mon 39</c:v>
                </c:pt>
                <c:pt idx="39">
                  <c:v>Mon 40</c:v>
                </c:pt>
                <c:pt idx="40">
                  <c:v>Mon 41</c:v>
                </c:pt>
                <c:pt idx="41">
                  <c:v>Mon 42</c:v>
                </c:pt>
                <c:pt idx="42">
                  <c:v>Mon 43</c:v>
                </c:pt>
                <c:pt idx="43">
                  <c:v>Mon 44</c:v>
                </c:pt>
                <c:pt idx="44">
                  <c:v>Mon 45</c:v>
                </c:pt>
                <c:pt idx="45">
                  <c:v>Mon 46</c:v>
                </c:pt>
                <c:pt idx="46">
                  <c:v>Mon 47</c:v>
                </c:pt>
                <c:pt idx="47">
                  <c:v>Mon 48</c:v>
                </c:pt>
                <c:pt idx="48">
                  <c:v>Mon 49</c:v>
                </c:pt>
                <c:pt idx="49">
                  <c:v>Mon 50</c:v>
                </c:pt>
                <c:pt idx="50">
                  <c:v>Mon 51</c:v>
                </c:pt>
                <c:pt idx="51">
                  <c:v>Mon 52</c:v>
                </c:pt>
                <c:pt idx="52">
                  <c:v>Mon 53</c:v>
                </c:pt>
                <c:pt idx="53">
                  <c:v>Mon 54</c:v>
                </c:pt>
                <c:pt idx="54">
                  <c:v>Mon 55</c:v>
                </c:pt>
                <c:pt idx="55">
                  <c:v>Mon 56</c:v>
                </c:pt>
                <c:pt idx="56">
                  <c:v>Mon 57</c:v>
                </c:pt>
                <c:pt idx="57">
                  <c:v>Mon 58</c:v>
                </c:pt>
                <c:pt idx="58">
                  <c:v>Mon 59</c:v>
                </c:pt>
                <c:pt idx="59">
                  <c:v>Mon 60</c:v>
                </c:pt>
              </c:strCache>
            </c:strRef>
          </c:cat>
          <c:val>
            <c:numRef>
              <c:f>'Monthly Cash Flows'!$B$27:$BI$27</c:f>
              <c:numCache>
                <c:formatCode>"$"#,##0</c:formatCode>
                <c:ptCount val="60"/>
                <c:pt idx="0">
                  <c:v>5514845.796021007</c:v>
                </c:pt>
                <c:pt idx="1">
                  <c:v>5482841.592042014</c:v>
                </c:pt>
                <c:pt idx="2">
                  <c:v>5506581.888063021</c:v>
                </c:pt>
                <c:pt idx="3">
                  <c:v>5535239.019084028</c:v>
                </c:pt>
                <c:pt idx="4">
                  <c:v>5568960.4901550356</c:v>
                </c:pt>
                <c:pt idx="5">
                  <c:v>5607898.2314775428</c:v>
                </c:pt>
                <c:pt idx="6">
                  <c:v>5652208.7311590947</c:v>
                </c:pt>
                <c:pt idx="7">
                  <c:v>5702053.1719504632</c:v>
                </c:pt>
                <c:pt idx="8">
                  <c:v>5757597.5720849428</c:v>
                </c:pt>
                <c:pt idx="9">
                  <c:v>5819012.930342827</c:v>
                </c:pt>
                <c:pt idx="10">
                  <c:v>5886475.3754678173</c:v>
                </c:pt>
                <c:pt idx="11">
                  <c:v>5960166.3200659268</c:v>
                </c:pt>
                <c:pt idx="12">
                  <c:v>5962429.4287174596</c:v>
                </c:pt>
                <c:pt idx="13">
                  <c:v>5994054.0152066601</c:v>
                </c:pt>
                <c:pt idx="14">
                  <c:v>6078282.5208447184</c:v>
                </c:pt>
                <c:pt idx="15">
                  <c:v>6195375.3375465199</c:v>
                </c:pt>
                <c:pt idx="16">
                  <c:v>6348618.8964184392</c:v>
                </c:pt>
                <c:pt idx="17">
                  <c:v>6541628.2716774875</c:v>
                </c:pt>
                <c:pt idx="18">
                  <c:v>6778380.0449623782</c:v>
                </c:pt>
                <c:pt idx="19">
                  <c:v>7063248.4560756944</c:v>
                </c:pt>
                <c:pt idx="20">
                  <c:v>7401045.1688002804</c:v>
                </c:pt>
                <c:pt idx="21">
                  <c:v>7797063.0132972617</c:v>
                </c:pt>
                <c:pt idx="22">
                  <c:v>8257124.102743879</c:v>
                </c:pt>
                <c:pt idx="23">
                  <c:v>8787632.7616350949</c:v>
                </c:pt>
                <c:pt idx="24">
                  <c:v>9147578.0567265954</c:v>
                </c:pt>
                <c:pt idx="25">
                  <c:v>9583655.8079643827</c:v>
                </c:pt>
                <c:pt idx="26">
                  <c:v>10063781.20415361</c:v>
                </c:pt>
                <c:pt idx="27">
                  <c:v>10590156.627541851</c:v>
                </c:pt>
                <c:pt idx="28">
                  <c:v>11165094.579489056</c:v>
                </c:pt>
                <c:pt idx="29">
                  <c:v>11791023.186423173</c:v>
                </c:pt>
                <c:pt idx="30">
                  <c:v>12470491.981093548</c:v>
                </c:pt>
                <c:pt idx="31">
                  <c:v>13206177.972886994</c:v>
                </c:pt>
                <c:pt idx="32">
                  <c:v>14000892.021659665</c:v>
                </c:pt>
                <c:pt idx="33">
                  <c:v>14857585.53026052</c:v>
                </c:pt>
                <c:pt idx="34">
                  <c:v>15779357.471680969</c:v>
                </c:pt>
                <c:pt idx="35">
                  <c:v>16769461.767561993</c:v>
                </c:pt>
                <c:pt idx="36">
                  <c:v>17488070.916275475</c:v>
                </c:pt>
                <c:pt idx="37">
                  <c:v>18316841.299198408</c:v>
                </c:pt>
                <c:pt idx="38">
                  <c:v>19224714.923953764</c:v>
                </c:pt>
                <c:pt idx="39">
                  <c:v>20215646.952633165</c:v>
                </c:pt>
                <c:pt idx="40">
                  <c:v>21293790.305432811</c:v>
                </c:pt>
                <c:pt idx="41">
                  <c:v>22463505.548558712</c:v>
                </c:pt>
                <c:pt idx="42">
                  <c:v>23729371.276527185</c:v>
                </c:pt>
                <c:pt idx="43">
                  <c:v>25096195.01358036</c:v>
                </c:pt>
                <c:pt idx="44">
                  <c:v>26569024.660172466</c:v>
                </c:pt>
                <c:pt idx="45">
                  <c:v>28153160.511780456</c:v>
                </c:pt>
                <c:pt idx="46">
                  <c:v>29854167.878655121</c:v>
                </c:pt>
                <c:pt idx="47">
                  <c:v>31677890.336559795</c:v>
                </c:pt>
                <c:pt idx="48">
                  <c:v>33005637.091413084</c:v>
                </c:pt>
                <c:pt idx="49">
                  <c:v>34519435.425701961</c:v>
                </c:pt>
                <c:pt idx="50">
                  <c:v>36175291.817244448</c:v>
                </c:pt>
                <c:pt idx="51">
                  <c:v>37980309.168903232</c:v>
                </c:pt>
                <c:pt idx="52">
                  <c:v>39941945.528684124</c:v>
                </c:pt>
                <c:pt idx="53">
                  <c:v>42068031.84699323</c:v>
                </c:pt>
                <c:pt idx="54">
                  <c:v>44366790.621756963</c:v>
                </c:pt>
                <c:pt idx="55">
                  <c:v>46846855.475798056</c:v>
                </c:pt>
                <c:pt idx="56">
                  <c:v>49517291.713080369</c:v>
                </c:pt>
                <c:pt idx="57">
                  <c:v>52387617.902765974</c:v>
                </c:pt>
                <c:pt idx="58">
                  <c:v>55467828.54247503</c:v>
                </c:pt>
                <c:pt idx="59">
                  <c:v>58768417.854708709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72-4D85-BA96-120D6A7C06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9999104"/>
        <c:axId val="2129997472"/>
      </c:barChart>
      <c:catAx>
        <c:axId val="2129999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9997472"/>
        <c:crosses val="autoZero"/>
        <c:auto val="1"/>
        <c:lblAlgn val="r"/>
        <c:lblOffset val="100"/>
        <c:noMultiLvlLbl val="0"/>
      </c:catAx>
      <c:valAx>
        <c:axId val="2129997472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9999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Financial Highlights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'Income Statement'!$A$3</c:f>
              <c:strCache>
                <c:ptCount val="1"/>
                <c:pt idx="0">
                  <c:v>Revenue</c:v>
                </c:pt>
              </c:strCache>
            </c:strRef>
          </c:tx>
          <c:invertIfNegative val="0"/>
          <c:cat>
            <c:strRef>
              <c:f>'Income Statement'!$B$2:$F$2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'Income Statement'!$B$3:$F$3</c:f>
              <c:numCache>
                <c:formatCode>"$"#,##0</c:formatCode>
                <c:ptCount val="5"/>
                <c:pt idx="0">
                  <c:v>3725407.7599040661</c:v>
                </c:pt>
                <c:pt idx="1">
                  <c:v>11220280.877145521</c:v>
                </c:pt>
                <c:pt idx="2">
                  <c:v>25019724.549606074</c:v>
                </c:pt>
                <c:pt idx="3">
                  <c:v>44931830.607741259</c:v>
                </c:pt>
                <c:pt idx="4">
                  <c:v>80691112.236666903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61-4175-A6E6-CEC381354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0"/>
        <c:overlap val="-10"/>
        <c:axId val="112165200"/>
        <c:axId val="112167920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'Income Statement'!#REF!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chemeClr val="accent2">
                      <a:lumMod val="75000"/>
                    </a:schemeClr>
                  </a:solidFill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'Income Statement'!$B$2:$F$2</c15:sqref>
                        </c15:formulaRef>
                      </c:ext>
                    </c:extLst>
                    <c:strCache>
                      <c:ptCount val="5"/>
                      <c:pt idx="0">
                        <c:v>Year 1</c:v>
                      </c:pt>
                      <c:pt idx="1">
                        <c:v>Year 2</c:v>
                      </c:pt>
                      <c:pt idx="2">
                        <c:v>Year 3</c:v>
                      </c:pt>
                      <c:pt idx="3">
                        <c:v>Year 4</c:v>
                      </c:pt>
                      <c:pt idx="4">
                        <c:v>Year 5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'Income Statement'!#REF!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E661-4175-A6E6-CEC381354B72}"/>
                  </c:ext>
                </c:extLst>
              </c15:ser>
            </c15:filteredBarSeries>
          </c:ext>
        </c:extLst>
      </c:barChart>
      <c:lineChart>
        <c:grouping val="standard"/>
        <c:varyColors val="0"/>
        <c:ser>
          <c:idx val="2"/>
          <c:order val="2"/>
          <c:tx>
            <c:strRef>
              <c:f>'Income Statement'!$A$31</c:f>
              <c:strCache>
                <c:ptCount val="1"/>
                <c:pt idx="0">
                  <c:v>Net Income / (Loss)</c:v>
                </c:pt>
              </c:strCache>
            </c:strRef>
          </c:tx>
          <c:marker>
            <c:symbol val="none"/>
          </c:marker>
          <c:cat>
            <c:strRef>
              <c:f>'Income Statement'!$B$2:$F$2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'Income Statement'!$B$31:$F$31</c:f>
              <c:numCache>
                <c:formatCode>"$"#,##0</c:formatCode>
                <c:ptCount val="5"/>
                <c:pt idx="0">
                  <c:v>419894.20819452702</c:v>
                </c:pt>
                <c:pt idx="1">
                  <c:v>3122329.2637812458</c:v>
                </c:pt>
                <c:pt idx="2">
                  <c:v>8326509.6145667545</c:v>
                </c:pt>
                <c:pt idx="3">
                  <c:v>15610395.714085052</c:v>
                </c:pt>
                <c:pt idx="4">
                  <c:v>28457406.475837495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661-4175-A6E6-CEC381354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94183904"/>
        <c:axId val="794181744"/>
      </c:lineChart>
      <c:catAx>
        <c:axId val="112165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67920"/>
        <c:crosses val="autoZero"/>
        <c:auto val="1"/>
        <c:lblAlgn val="ctr"/>
        <c:lblOffset val="100"/>
        <c:noMultiLvlLbl val="0"/>
      </c:catAx>
      <c:valAx>
        <c:axId val="112167920"/>
        <c:scaling>
          <c:orientation val="minMax"/>
        </c:scaling>
        <c:delete val="0"/>
        <c:axPos val="l"/>
        <c:numFmt formatCode="&quot;$&quot;#,##0" sourceLinked="1"/>
        <c:majorTickMark val="none"/>
        <c:minorTickMark val="none"/>
        <c:tickLblPos val="nextTo"/>
        <c:spPr>
          <a:noFill/>
          <a:ln w="6350" cap="flat" cmpd="sng" algn="ctr">
            <a:noFill/>
            <a:prstDash val="solid"/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165200"/>
        <c:crosses val="autoZero"/>
        <c:crossBetween val="between"/>
      </c:valAx>
      <c:catAx>
        <c:axId val="7941839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94181744"/>
        <c:crosses val="autoZero"/>
        <c:auto val="1"/>
        <c:lblAlgn val="ctr"/>
        <c:lblOffset val="100"/>
        <c:noMultiLvlLbl val="0"/>
      </c:catAx>
      <c:valAx>
        <c:axId val="794181744"/>
        <c:scaling>
          <c:orientation val="minMax"/>
        </c:scaling>
        <c:delete val="0"/>
        <c:axPos val="r"/>
        <c:numFmt formatCode="&quot;$&quot;#,##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4183904"/>
        <c:crosses val="max"/>
        <c:crossBetween val="between"/>
      </c:valAx>
      <c:dTable>
        <c:showHorzBorder val="1"/>
        <c:showVertBorder val="1"/>
        <c:showOutline val="1"/>
        <c:showKeys val="1"/>
        <c:spPr>
          <a:ln w="6350" cap="flat" cmpd="sng" algn="ctr">
            <a:solidFill>
              <a:schemeClr val="bg1">
                <a:lumMod val="85000"/>
              </a:schemeClr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 rtl="0"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  <a:sp3d/>
      </c:spPr>
    </c:plotArea>
    <c:legend>
      <c:legendPos val="b"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 b="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140655494986201"/>
          <c:y val="8.7562161613299994E-2"/>
          <c:w val="0.73363618009287301"/>
          <c:h val="0.67205369309243002"/>
        </c:manualLayout>
      </c:layout>
      <c:barChart>
        <c:barDir val="col"/>
        <c:grouping val="clustered"/>
        <c:varyColors val="0"/>
        <c:ser>
          <c:idx val="0"/>
          <c:order val="0"/>
          <c:tx>
            <c:v>Revenue</c:v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cat>
            <c:strRef>
              <c:f>'Financial Report'!$A$4:$A$8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'Financial Report'!$B$4:$B$8</c:f>
              <c:numCache>
                <c:formatCode>#,##0</c:formatCode>
                <c:ptCount val="5"/>
                <c:pt idx="0">
                  <c:v>3725407.7599040661</c:v>
                </c:pt>
                <c:pt idx="1">
                  <c:v>11220280.877145521</c:v>
                </c:pt>
                <c:pt idx="2">
                  <c:v>25019724.549606074</c:v>
                </c:pt>
                <c:pt idx="3">
                  <c:v>44931830.607741259</c:v>
                </c:pt>
                <c:pt idx="4">
                  <c:v>80691112.236666903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08-4775-B15A-9D22C25940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1"/>
        <c:axId val="1878631408"/>
        <c:axId val="1878628688"/>
      </c:barChart>
      <c:catAx>
        <c:axId val="1878631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8628688"/>
        <c:crosses val="autoZero"/>
        <c:auto val="1"/>
        <c:lblAlgn val="ctr"/>
        <c:lblOffset val="100"/>
        <c:noMultiLvlLbl val="0"/>
      </c:catAx>
      <c:valAx>
        <c:axId val="1878628688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78631408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>
                <a:spAutoFit/>
              </a:bodyPr>
              <a:lstStyle/>
              <a:p>
                <a:pPr>
                  <a:defRPr lang="en-US"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480911100623499"/>
          <c:y val="8.8909094577757197E-2"/>
          <c:w val="0.81892380171721402"/>
          <c:h val="0.71047699998486702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cat>
            <c:strRef>
              <c:f>'Financial Report'!$I$4:$I$8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'Financial Report'!$J$4:$J$8</c:f>
              <c:numCache>
                <c:formatCode>#,##0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BD-437E-A4CC-FFC214D044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1"/>
        <c:axId val="1642854800"/>
        <c:axId val="1642851536"/>
      </c:barChart>
      <c:catAx>
        <c:axId val="1642854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2851536"/>
        <c:crosses val="autoZero"/>
        <c:auto val="1"/>
        <c:lblAlgn val="ctr"/>
        <c:lblOffset val="100"/>
        <c:noMultiLvlLbl val="0"/>
      </c:catAx>
      <c:valAx>
        <c:axId val="1642851536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2854800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>
                <a:spAutoFit/>
              </a:bodyPr>
              <a:lstStyle/>
              <a:p>
                <a:pPr>
                  <a:defRPr lang="en-US"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4858966551395"/>
          <c:y val="9.2232739803357305E-2"/>
          <c:w val="0.79798134947587596"/>
          <c:h val="0.69965390318839504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cat>
            <c:strRef>
              <c:f>'Financial Report'!$A$11:$A$15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'Financial Report'!$B$11:$B$15</c:f>
              <c:numCache>
                <c:formatCode>#,##0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B5-49D1-9D06-6565A823E1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1"/>
        <c:axId val="1968721104"/>
        <c:axId val="1968724368"/>
      </c:barChart>
      <c:catAx>
        <c:axId val="1968721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8724368"/>
        <c:crosses val="autoZero"/>
        <c:auto val="1"/>
        <c:lblAlgn val="ctr"/>
        <c:lblOffset val="100"/>
        <c:noMultiLvlLbl val="0"/>
      </c:catAx>
      <c:valAx>
        <c:axId val="1968724368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8721104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>
                <a:spAutoFit/>
              </a:bodyPr>
              <a:lstStyle/>
              <a:p>
                <a:pPr>
                  <a:defRPr lang="en-US"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59096779569199"/>
          <c:y val="9.2336324725876398E-2"/>
          <c:w val="0.78784818564346204"/>
          <c:h val="0.69931658991727796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cat>
            <c:strRef>
              <c:f>'Financial Report'!$I$11:$I$15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'Financial Report'!$J$11:$J$15</c:f>
              <c:numCache>
                <c:formatCode>#,##0</c:formatCode>
                <c:ptCount val="5"/>
                <c:pt idx="0">
                  <c:v>419894.20819452702</c:v>
                </c:pt>
                <c:pt idx="1">
                  <c:v>3122329.2637812458</c:v>
                </c:pt>
                <c:pt idx="2">
                  <c:v>8326509.6145667545</c:v>
                </c:pt>
                <c:pt idx="3">
                  <c:v>15610395.714085052</c:v>
                </c:pt>
                <c:pt idx="4">
                  <c:v>28457406.475837495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E3-4CAC-8683-BF99F0E59F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1"/>
        <c:axId val="1968729264"/>
        <c:axId val="1968727088"/>
      </c:barChart>
      <c:catAx>
        <c:axId val="1968729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8727088"/>
        <c:crosses val="autoZero"/>
        <c:auto val="1"/>
        <c:lblAlgn val="ctr"/>
        <c:lblOffset val="100"/>
        <c:noMultiLvlLbl val="0"/>
      </c:catAx>
      <c:valAx>
        <c:axId val="1968727088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8729264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>
                <a:spAutoFit/>
              </a:bodyPr>
              <a:lstStyle/>
              <a:p>
                <a:pPr>
                  <a:defRPr lang="en-US"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657264292580699"/>
          <c:y val="9.3396559478523503E-2"/>
          <c:w val="0.77627372195759503"/>
          <c:h val="0.69586404833236504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cat>
            <c:strRef>
              <c:f>'Financial Report'!$A$18:$A$22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'Financial Report'!$B$18:$B$22</c:f>
              <c:numCache>
                <c:formatCode>#,##0</c:formatCode>
                <c:ptCount val="5"/>
                <c:pt idx="0">
                  <c:v>10419894.208194528</c:v>
                </c:pt>
                <c:pt idx="1">
                  <c:v>13542223.471975774</c:v>
                </c:pt>
                <c:pt idx="2">
                  <c:v>21868733.086542528</c:v>
                </c:pt>
                <c:pt idx="3">
                  <c:v>37479128.800627582</c:v>
                </c:pt>
                <c:pt idx="4">
                  <c:v>65936535.276465073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40-451B-9F64-3EC00E5D03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1"/>
        <c:axId val="1968717840"/>
        <c:axId val="1968724912"/>
      </c:barChart>
      <c:catAx>
        <c:axId val="19687178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8724912"/>
        <c:crosses val="autoZero"/>
        <c:auto val="1"/>
        <c:lblAlgn val="ctr"/>
        <c:lblOffset val="100"/>
        <c:noMultiLvlLbl val="0"/>
      </c:catAx>
      <c:valAx>
        <c:axId val="1968724912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8717840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>
                <a:spAutoFit/>
              </a:bodyPr>
              <a:lstStyle/>
              <a:p>
                <a:pPr>
                  <a:defRPr lang="en-US"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9432725230334"/>
          <c:y val="9.3455552904371797E-2"/>
          <c:w val="0.76341363965306797"/>
          <c:h val="0.69567194252233699"/>
        </c:manualLayout>
      </c:layout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cat>
            <c:strRef>
              <c:f>'Financial Report'!$I$18:$I$22</c:f>
              <c:strCache>
                <c:ptCount val="5"/>
                <c:pt idx="0">
                  <c:v>Year 1</c:v>
                </c:pt>
                <c:pt idx="1">
                  <c:v>Year 2</c:v>
                </c:pt>
                <c:pt idx="2">
                  <c:v>Year 3</c:v>
                </c:pt>
                <c:pt idx="3">
                  <c:v>Year 4</c:v>
                </c:pt>
                <c:pt idx="4">
                  <c:v>Year 5</c:v>
                </c:pt>
              </c:strCache>
            </c:strRef>
          </c:cat>
          <c:val>
            <c:numRef>
              <c:f>'Financial Report'!$J$18:$J$22</c:f>
              <c:numCache>
                <c:formatCode>#,##0</c:formatCode>
                <c:ptCount val="5"/>
                <c:pt idx="0">
                  <c:v>19088210</c:v>
                </c:pt>
                <c:pt idx="1">
                  <c:v>29429105</c:v>
                </c:pt>
                <c:pt idx="2">
                  <c:v>43281897</c:v>
                </c:pt>
                <c:pt idx="3">
                  <c:v>61546332</c:v>
                </c:pt>
                <c:pt idx="4">
                  <c:v>85313413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EC-4417-BA33-A47F9AC168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41"/>
        <c:axId val="1968727632"/>
        <c:axId val="1968718384"/>
      </c:barChart>
      <c:catAx>
        <c:axId val="1968727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8718384"/>
        <c:crosses val="autoZero"/>
        <c:auto val="1"/>
        <c:lblAlgn val="ctr"/>
        <c:lblOffset val="100"/>
        <c:noMultiLvlLbl val="0"/>
      </c:catAx>
      <c:valAx>
        <c:axId val="1968718384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8727632"/>
        <c:crosses val="autoZero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>
                <a:spAutoFit/>
              </a:bodyPr>
              <a:lstStyle/>
              <a:p>
                <a:pPr>
                  <a:defRPr lang="en-US"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png"/><Relationship Id="rId3" Type="http://schemas.openxmlformats.org/officeDocument/2006/relationships/chart" Target="../charts/chart19.xml"/><Relationship Id="rId7" Type="http://schemas.openxmlformats.org/officeDocument/2006/relationships/hyperlink" Target="#Sheet9!A1"/><Relationship Id="rId12" Type="http://schemas.openxmlformats.org/officeDocument/2006/relationships/image" Target="../media/image4.jpeg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11" Type="http://schemas.openxmlformats.org/officeDocument/2006/relationships/image" Target="../media/image3.jpeg"/><Relationship Id="rId5" Type="http://schemas.openxmlformats.org/officeDocument/2006/relationships/chart" Target="../charts/chart21.xml"/><Relationship Id="rId10" Type="http://schemas.openxmlformats.org/officeDocument/2006/relationships/hyperlink" Target="#Sheet8!A1"/><Relationship Id="rId4" Type="http://schemas.openxmlformats.org/officeDocument/2006/relationships/chart" Target="../charts/chart20.xml"/><Relationship Id="rId9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528916</xdr:colOff>
      <xdr:row>0</xdr:row>
      <xdr:rowOff>123263</xdr:rowOff>
    </xdr:from>
    <xdr:to>
      <xdr:col>19</xdr:col>
      <xdr:colOff>203947</xdr:colOff>
      <xdr:row>22</xdr:row>
      <xdr:rowOff>123265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003175" y="123263"/>
          <a:ext cx="8953501" cy="460786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6000" i="1">
            <a:solidFill>
              <a:srgbClr val="4472C4"/>
            </a:solidFill>
            <a:effectLst/>
            <a:latin typeface="Candara" panose="020E0502030303020204" pitchFamily="34" charset="0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6600" b="1" i="1">
              <a:solidFill>
                <a:srgbClr val="4472C4"/>
              </a:solidFill>
              <a:effectLst/>
              <a:latin typeface="Candara" panose="020E0502030303020204" pitchFamily="34" charset="0"/>
              <a:ea typeface="+mn-ea"/>
              <a:cs typeface="+mn-cs"/>
            </a:rPr>
            <a:t>Branadiko</a:t>
          </a:r>
          <a:r>
            <a:rPr lang="en-US" sz="6600" b="1" i="1" baseline="0">
              <a:solidFill>
                <a:srgbClr val="4472C4"/>
              </a:solidFill>
              <a:effectLst/>
              <a:latin typeface="Candara" panose="020E0502030303020204" pitchFamily="34" charset="0"/>
              <a:ea typeface="+mn-ea"/>
              <a:cs typeface="+mn-cs"/>
            </a:rPr>
            <a:t> C Corp</a:t>
          </a:r>
          <a:endParaRPr lang="en-US" sz="6600" b="1" i="1">
            <a:solidFill>
              <a:srgbClr val="4472C4"/>
            </a:solidFill>
            <a:effectLst/>
            <a:latin typeface="Candara" panose="020E0502030303020204" pitchFamily="34" charset="0"/>
            <a:ea typeface="+mn-ea"/>
            <a:cs typeface="+mn-cs"/>
          </a:endParaRPr>
        </a:p>
        <a:p>
          <a:pPr algn="ctr"/>
          <a:r>
            <a:rPr lang="en-US" sz="6000" i="1">
              <a:solidFill>
                <a:srgbClr val="4472C4"/>
              </a:solidFill>
              <a:effectLst/>
              <a:latin typeface="Candara" panose="020E0502030303020204" pitchFamily="34" charset="0"/>
              <a:ea typeface="+mn-ea"/>
              <a:cs typeface="+mn-cs"/>
            </a:rPr>
            <a:t>Financial Plan</a:t>
          </a:r>
          <a:endParaRPr lang="en-US" sz="6000" i="1">
            <a:solidFill>
              <a:srgbClr val="4472C4"/>
            </a:solidFill>
            <a:latin typeface="Candara" panose="020E0502030303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563868</xdr:colOff>
      <xdr:row>0</xdr:row>
      <xdr:rowOff>18505</xdr:rowOff>
    </xdr:from>
    <xdr:to>
      <xdr:col>19</xdr:col>
      <xdr:colOff>109389</xdr:colOff>
      <xdr:row>18</xdr:row>
      <xdr:rowOff>2176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14260</xdr:colOff>
      <xdr:row>23</xdr:row>
      <xdr:rowOff>24962</xdr:rowOff>
    </xdr:from>
    <xdr:to>
      <xdr:col>8</xdr:col>
      <xdr:colOff>144889</xdr:colOff>
      <xdr:row>41</xdr:row>
      <xdr:rowOff>8633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580928</xdr:colOff>
      <xdr:row>23</xdr:row>
      <xdr:rowOff>31810</xdr:rowOff>
    </xdr:from>
    <xdr:to>
      <xdr:col>19</xdr:col>
      <xdr:colOff>126449</xdr:colOff>
      <xdr:row>41</xdr:row>
      <xdr:rowOff>15481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1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89749</xdr:colOff>
      <xdr:row>45</xdr:row>
      <xdr:rowOff>203626</xdr:rowOff>
    </xdr:from>
    <xdr:to>
      <xdr:col>8</xdr:col>
      <xdr:colOff>220378</xdr:colOff>
      <xdr:row>63</xdr:row>
      <xdr:rowOff>187297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14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13608</xdr:colOff>
      <xdr:row>45</xdr:row>
      <xdr:rowOff>193217</xdr:rowOff>
    </xdr:from>
    <xdr:to>
      <xdr:col>19</xdr:col>
      <xdr:colOff>144236</xdr:colOff>
      <xdr:row>63</xdr:row>
      <xdr:rowOff>176888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14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69</xdr:row>
      <xdr:rowOff>21771</xdr:rowOff>
    </xdr:from>
    <xdr:to>
      <xdr:col>8</xdr:col>
      <xdr:colOff>130629</xdr:colOff>
      <xdr:row>87</xdr:row>
      <xdr:rowOff>5443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14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32657</xdr:colOff>
      <xdr:row>69</xdr:row>
      <xdr:rowOff>26886</xdr:rowOff>
    </xdr:from>
    <xdr:to>
      <xdr:col>19</xdr:col>
      <xdr:colOff>163285</xdr:colOff>
      <xdr:row>87</xdr:row>
      <xdr:rowOff>10558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14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32658</xdr:colOff>
      <xdr:row>93</xdr:row>
      <xdr:rowOff>176734</xdr:rowOff>
    </xdr:from>
    <xdr:to>
      <xdr:col>8</xdr:col>
      <xdr:colOff>163287</xdr:colOff>
      <xdr:row>111</xdr:row>
      <xdr:rowOff>160405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14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11</xdr:col>
      <xdr:colOff>36260</xdr:colOff>
      <xdr:row>93</xdr:row>
      <xdr:rowOff>163286</xdr:rowOff>
    </xdr:from>
    <xdr:to>
      <xdr:col>19</xdr:col>
      <xdr:colOff>166888</xdr:colOff>
      <xdr:row>111</xdr:row>
      <xdr:rowOff>146957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14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0</xdr:colOff>
      <xdr:row>117</xdr:row>
      <xdr:rowOff>31055</xdr:rowOff>
    </xdr:from>
    <xdr:to>
      <xdr:col>8</xdr:col>
      <xdr:colOff>130629</xdr:colOff>
      <xdr:row>135</xdr:row>
      <xdr:rowOff>14727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14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11</xdr:col>
      <xdr:colOff>7044</xdr:colOff>
      <xdr:row>117</xdr:row>
      <xdr:rowOff>32657</xdr:rowOff>
    </xdr:from>
    <xdr:to>
      <xdr:col>19</xdr:col>
      <xdr:colOff>137672</xdr:colOff>
      <xdr:row>135</xdr:row>
      <xdr:rowOff>16329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14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11</xdr:col>
      <xdr:colOff>20492</xdr:colOff>
      <xdr:row>140</xdr:row>
      <xdr:rowOff>21773</xdr:rowOff>
    </xdr:from>
    <xdr:to>
      <xdr:col>19</xdr:col>
      <xdr:colOff>151120</xdr:colOff>
      <xdr:row>158</xdr:row>
      <xdr:rowOff>5444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14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32656</xdr:colOff>
      <xdr:row>140</xdr:row>
      <xdr:rowOff>43542</xdr:rowOff>
    </xdr:from>
    <xdr:to>
      <xdr:col>8</xdr:col>
      <xdr:colOff>163285</xdr:colOff>
      <xdr:row>158</xdr:row>
      <xdr:rowOff>27213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14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0</xdr:colOff>
      <xdr:row>163</xdr:row>
      <xdr:rowOff>21770</xdr:rowOff>
    </xdr:from>
    <xdr:to>
      <xdr:col>8</xdr:col>
      <xdr:colOff>130629</xdr:colOff>
      <xdr:row>181</xdr:row>
      <xdr:rowOff>5441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14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11</xdr:col>
      <xdr:colOff>32656</xdr:colOff>
      <xdr:row>163</xdr:row>
      <xdr:rowOff>32657</xdr:rowOff>
    </xdr:from>
    <xdr:to>
      <xdr:col>19</xdr:col>
      <xdr:colOff>163284</xdr:colOff>
      <xdr:row>181</xdr:row>
      <xdr:rowOff>16328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14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13609</xdr:colOff>
      <xdr:row>0</xdr:row>
      <xdr:rowOff>27218</xdr:rowOff>
    </xdr:from>
    <xdr:to>
      <xdr:col>8</xdr:col>
      <xdr:colOff>144238</xdr:colOff>
      <xdr:row>18</xdr:row>
      <xdr:rowOff>10889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14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28576</xdr:colOff>
      <xdr:row>1</xdr:row>
      <xdr:rowOff>176212</xdr:rowOff>
    </xdr:from>
    <xdr:to>
      <xdr:col>6</xdr:col>
      <xdr:colOff>561976</xdr:colOff>
      <xdr:row>7</xdr:row>
      <xdr:rowOff>266700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28575</xdr:colOff>
      <xdr:row>1</xdr:row>
      <xdr:rowOff>176211</xdr:rowOff>
    </xdr:from>
    <xdr:to>
      <xdr:col>15</xdr:col>
      <xdr:colOff>0</xdr:colOff>
      <xdr:row>7</xdr:row>
      <xdr:rowOff>266699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47625</xdr:colOff>
      <xdr:row>9</xdr:row>
      <xdr:rowOff>14287</xdr:rowOff>
    </xdr:from>
    <xdr:to>
      <xdr:col>6</xdr:col>
      <xdr:colOff>571501</xdr:colOff>
      <xdr:row>15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47624</xdr:colOff>
      <xdr:row>9</xdr:row>
      <xdr:rowOff>14287</xdr:rowOff>
    </xdr:from>
    <xdr:to>
      <xdr:col>14</xdr:col>
      <xdr:colOff>609599</xdr:colOff>
      <xdr:row>14</xdr:row>
      <xdr:rowOff>255460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47625</xdr:colOff>
      <xdr:row>16</xdr:row>
      <xdr:rowOff>42861</xdr:rowOff>
    </xdr:from>
    <xdr:to>
      <xdr:col>6</xdr:col>
      <xdr:colOff>571881</xdr:colOff>
      <xdr:row>22</xdr:row>
      <xdr:rowOff>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71437</xdr:colOff>
      <xdr:row>16</xdr:row>
      <xdr:rowOff>43814</xdr:rowOff>
    </xdr:from>
    <xdr:to>
      <xdr:col>14</xdr:col>
      <xdr:colOff>595693</xdr:colOff>
      <xdr:row>22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19050</xdr:colOff>
      <xdr:row>8</xdr:row>
      <xdr:rowOff>19051</xdr:rowOff>
    </xdr:from>
    <xdr:to>
      <xdr:col>6</xdr:col>
      <xdr:colOff>595122</xdr:colOff>
      <xdr:row>8</xdr:row>
      <xdr:rowOff>247651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1500-00000A000000}"/>
            </a:ext>
          </a:extLst>
        </xdr:cNvPr>
        <xdr:cNvSpPr txBox="1"/>
      </xdr:nvSpPr>
      <xdr:spPr>
        <a:xfrm>
          <a:off x="19050" y="1628775"/>
          <a:ext cx="4528820" cy="228600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rtl="0">
            <a:defRPr sz="1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r>
            <a:rPr lang="en-US" sz="1400">
              <a:solidFill>
                <a:schemeClr val="bg1"/>
              </a:solidFill>
              <a:latin typeface="Aharoni" panose="02010803020104030203" pitchFamily="2" charset="-79"/>
              <a:cs typeface="Aharoni" panose="02010803020104030203" pitchFamily="2" charset="-79"/>
            </a:rPr>
            <a:t>Gross Profit</a:t>
          </a:r>
        </a:p>
      </xdr:txBody>
    </xdr:sp>
    <xdr:clientData/>
  </xdr:twoCellAnchor>
  <xdr:twoCellAnchor>
    <xdr:from>
      <xdr:col>0</xdr:col>
      <xdr:colOff>19050</xdr:colOff>
      <xdr:row>15</xdr:row>
      <xdr:rowOff>47625</xdr:rowOff>
    </xdr:from>
    <xdr:to>
      <xdr:col>6</xdr:col>
      <xdr:colOff>595122</xdr:colOff>
      <xdr:row>16</xdr:row>
      <xdr:rowOff>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1500-00000B000000}"/>
            </a:ext>
          </a:extLst>
        </xdr:cNvPr>
        <xdr:cNvSpPr txBox="1"/>
      </xdr:nvSpPr>
      <xdr:spPr>
        <a:xfrm>
          <a:off x="19050" y="3181350"/>
          <a:ext cx="4528820" cy="219075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en-US" sz="1400" b="0" i="0" baseline="0">
              <a:solidFill>
                <a:schemeClr val="bg1"/>
              </a:solidFill>
              <a:effectLst/>
              <a:latin typeface="Aharoni" panose="02010803020104030203" pitchFamily="2" charset="-79"/>
              <a:ea typeface="+mn-ea"/>
              <a:cs typeface="Aharoni" panose="02010803020104030203" pitchFamily="2" charset="-79"/>
            </a:rPr>
            <a:t>Equity</a:t>
          </a:r>
          <a:endParaRPr lang="en-US" sz="1400">
            <a:solidFill>
              <a:schemeClr val="bg1"/>
            </a:solidFill>
            <a:latin typeface="Aharoni" panose="02010803020104030203" pitchFamily="2" charset="-79"/>
            <a:cs typeface="Aharoni" panose="02010803020104030203" pitchFamily="2" charset="-79"/>
          </a:endParaRPr>
        </a:p>
      </xdr:txBody>
    </xdr:sp>
    <xdr:clientData/>
  </xdr:twoCellAnchor>
  <xdr:twoCellAnchor>
    <xdr:from>
      <xdr:col>7</xdr:col>
      <xdr:colOff>22411</xdr:colOff>
      <xdr:row>8</xdr:row>
      <xdr:rowOff>19051</xdr:rowOff>
    </xdr:from>
    <xdr:to>
      <xdr:col>16</xdr:col>
      <xdr:colOff>5020</xdr:colOff>
      <xdr:row>8</xdr:row>
      <xdr:rowOff>247651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1500-00000D000000}"/>
            </a:ext>
          </a:extLst>
        </xdr:cNvPr>
        <xdr:cNvSpPr txBox="1"/>
      </xdr:nvSpPr>
      <xdr:spPr>
        <a:xfrm>
          <a:off x="4581525" y="1628775"/>
          <a:ext cx="4852670" cy="228600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en-US" sz="1400" b="0" i="0" baseline="0">
              <a:solidFill>
                <a:schemeClr val="bg1"/>
              </a:solidFill>
              <a:effectLst/>
              <a:latin typeface="Aharoni" panose="02010803020104030203" pitchFamily="2" charset="-79"/>
              <a:ea typeface="+mn-ea"/>
              <a:cs typeface="Aharoni" panose="02010803020104030203" pitchFamily="2" charset="-79"/>
            </a:rPr>
            <a:t>      Net Profit</a:t>
          </a:r>
          <a:endParaRPr lang="en-US" sz="1400">
            <a:solidFill>
              <a:schemeClr val="bg1"/>
            </a:solidFill>
            <a:effectLst/>
            <a:latin typeface="Aharoni" panose="02010803020104030203" pitchFamily="2" charset="-79"/>
            <a:cs typeface="Aharoni" panose="02010803020104030203" pitchFamily="2" charset="-79"/>
          </a:endParaRPr>
        </a:p>
        <a:p>
          <a:pPr algn="ctr"/>
          <a:endParaRPr lang="en-US" sz="1400">
            <a:solidFill>
              <a:schemeClr val="bg1"/>
            </a:solidFill>
            <a:latin typeface="Aharoni" panose="02010803020104030203" pitchFamily="2" charset="-79"/>
            <a:cs typeface="Aharoni" panose="02010803020104030203" pitchFamily="2" charset="-79"/>
          </a:endParaRPr>
        </a:p>
      </xdr:txBody>
    </xdr:sp>
    <xdr:clientData/>
  </xdr:twoCellAnchor>
  <xdr:twoCellAnchor>
    <xdr:from>
      <xdr:col>7</xdr:col>
      <xdr:colOff>22411</xdr:colOff>
      <xdr:row>15</xdr:row>
      <xdr:rowOff>47625</xdr:rowOff>
    </xdr:from>
    <xdr:to>
      <xdr:col>16</xdr:col>
      <xdr:colOff>5020</xdr:colOff>
      <xdr:row>16</xdr:row>
      <xdr:rowOff>0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1500-00000E000000}"/>
            </a:ext>
          </a:extLst>
        </xdr:cNvPr>
        <xdr:cNvSpPr txBox="1"/>
      </xdr:nvSpPr>
      <xdr:spPr>
        <a:xfrm>
          <a:off x="4581525" y="3181350"/>
          <a:ext cx="4852670" cy="219075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en-US" sz="1400" b="0" i="0" baseline="0">
              <a:solidFill>
                <a:schemeClr val="bg1"/>
              </a:solidFill>
              <a:effectLst/>
              <a:latin typeface="Aharoni" panose="02010803020104030203" pitchFamily="2" charset="-79"/>
              <a:ea typeface="+mn-ea"/>
              <a:cs typeface="Aharoni" panose="02010803020104030203" pitchFamily="2" charset="-79"/>
            </a:rPr>
            <a:t>Fixed Assets</a:t>
          </a:r>
          <a:endParaRPr lang="en-US" sz="1400">
            <a:solidFill>
              <a:schemeClr val="bg1"/>
            </a:solidFill>
            <a:effectLst/>
            <a:latin typeface="Aharoni" panose="02010803020104030203" pitchFamily="2" charset="-79"/>
            <a:cs typeface="Aharoni" panose="02010803020104030203" pitchFamily="2" charset="-79"/>
          </a:endParaRPr>
        </a:p>
        <a:p>
          <a:pPr algn="ctr"/>
          <a:endParaRPr lang="en-US" sz="1400">
            <a:solidFill>
              <a:schemeClr val="bg1"/>
            </a:solidFill>
            <a:latin typeface="Aharoni" panose="02010803020104030203" pitchFamily="2" charset="-79"/>
            <a:cs typeface="Aharoni" panose="02010803020104030203" pitchFamily="2" charset="-79"/>
          </a:endParaRPr>
        </a:p>
      </xdr:txBody>
    </xdr:sp>
    <xdr:clientData/>
  </xdr:twoCellAnchor>
  <xdr:twoCellAnchor>
    <xdr:from>
      <xdr:col>0</xdr:col>
      <xdr:colOff>19050</xdr:colOff>
      <xdr:row>0</xdr:row>
      <xdr:rowOff>47625</xdr:rowOff>
    </xdr:from>
    <xdr:to>
      <xdr:col>6</xdr:col>
      <xdr:colOff>595122</xdr:colOff>
      <xdr:row>1</xdr:row>
      <xdr:rowOff>150495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1500-000010000000}"/>
            </a:ext>
          </a:extLst>
        </xdr:cNvPr>
        <xdr:cNvSpPr txBox="1"/>
      </xdr:nvSpPr>
      <xdr:spPr>
        <a:xfrm>
          <a:off x="19050" y="47625"/>
          <a:ext cx="4528820" cy="304800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400">
              <a:solidFill>
                <a:schemeClr val="bg1"/>
              </a:solidFill>
              <a:latin typeface="Aharoni" panose="02010803020104030203" pitchFamily="2" charset="-79"/>
              <a:cs typeface="Aharoni" panose="02010803020104030203" pitchFamily="2" charset="-79"/>
            </a:rPr>
            <a:t>Revenue</a:t>
          </a:r>
        </a:p>
      </xdr:txBody>
    </xdr:sp>
    <xdr:clientData/>
  </xdr:twoCellAnchor>
  <xdr:twoCellAnchor>
    <xdr:from>
      <xdr:col>8</xdr:col>
      <xdr:colOff>3361</xdr:colOff>
      <xdr:row>0</xdr:row>
      <xdr:rowOff>47625</xdr:rowOff>
    </xdr:from>
    <xdr:to>
      <xdr:col>16</xdr:col>
      <xdr:colOff>0</xdr:colOff>
      <xdr:row>1</xdr:row>
      <xdr:rowOff>150495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1500-000011000000}"/>
            </a:ext>
          </a:extLst>
        </xdr:cNvPr>
        <xdr:cNvSpPr txBox="1"/>
      </xdr:nvSpPr>
      <xdr:spPr>
        <a:xfrm>
          <a:off x="4584700" y="47625"/>
          <a:ext cx="4845050" cy="304800"/>
        </a:xfrm>
        <a:prstGeom prst="rect">
          <a:avLst/>
        </a:prstGeom>
        <a:solidFill>
          <a:schemeClr val="tx2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/>
          </a:pPr>
          <a:r>
            <a:rPr lang="en-US" sz="1400" b="0" i="0" baseline="0">
              <a:solidFill>
                <a:schemeClr val="bg1"/>
              </a:solidFill>
              <a:effectLst/>
              <a:latin typeface="Aharoni" panose="02010803020104030203" pitchFamily="2" charset="-79"/>
              <a:ea typeface="+mn-ea"/>
              <a:cs typeface="Aharoni" panose="02010803020104030203" pitchFamily="2" charset="-79"/>
            </a:rPr>
            <a:t>Cost of Revenue</a:t>
          </a:r>
          <a:endParaRPr lang="en-US" sz="1400">
            <a:solidFill>
              <a:schemeClr val="bg1"/>
            </a:solidFill>
            <a:effectLst/>
            <a:latin typeface="Aharoni" panose="02010803020104030203" pitchFamily="2" charset="-79"/>
            <a:cs typeface="Aharoni" panose="02010803020104030203" pitchFamily="2" charset="-79"/>
          </a:endParaRPr>
        </a:p>
        <a:p>
          <a:pPr algn="ctr"/>
          <a:endParaRPr lang="en-US" sz="1400">
            <a:solidFill>
              <a:schemeClr val="bg1"/>
            </a:solidFill>
            <a:latin typeface="Aharoni" panose="02010803020104030203" pitchFamily="2" charset="-79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8</xdr:col>
      <xdr:colOff>276780</xdr:colOff>
      <xdr:row>0</xdr:row>
      <xdr:rowOff>0</xdr:rowOff>
    </xdr:from>
    <xdr:to>
      <xdr:col>8</xdr:col>
      <xdr:colOff>276780</xdr:colOff>
      <xdr:row>4</xdr:row>
      <xdr:rowOff>157442</xdr:rowOff>
    </xdr:to>
    <xdr:pic>
      <xdr:nvPicPr>
        <xdr:cNvPr id="18" name="Picture 17" descr="https://cdn2.iconfinder.com/data/icons/seo-web-optomization-ultimate-set/512/profit-512.png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15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lum bright="70000" contrast="-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857750" y="0"/>
          <a:ext cx="0" cy="928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589990</xdr:colOff>
      <xdr:row>0</xdr:row>
      <xdr:rowOff>0</xdr:rowOff>
    </xdr:from>
    <xdr:to>
      <xdr:col>1</xdr:col>
      <xdr:colOff>589990</xdr:colOff>
      <xdr:row>4</xdr:row>
      <xdr:rowOff>67235</xdr:rowOff>
    </xdr:to>
    <xdr:pic>
      <xdr:nvPicPr>
        <xdr:cNvPr id="19" name="Picture 18" descr="http://4.bp.blogspot.com/-KU8mQCWKyQk/UpQOwUGFChI/AAAAAAAAAhw/FTZIWxh8MfQ/s1600/home.png">
          <a:extLst>
            <a:ext uri="{FF2B5EF4-FFF2-40B4-BE49-F238E27FC236}">
              <a16:creationId xmlns:a16="http://schemas.microsoft.com/office/drawing/2014/main" id="{00000000-0008-0000-15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ackgroundRemoval t="0" b="89990" l="0" r="100000">
                      <a14:foregroundMark x1="32332" y1="29129" x2="32332" y2="29129"/>
                      <a14:foregroundMark x1="55255" y1="71872" x2="55255" y2="71872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99515" y="0"/>
          <a:ext cx="0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30817</xdr:colOff>
      <xdr:row>0</xdr:row>
      <xdr:rowOff>0</xdr:rowOff>
    </xdr:from>
    <xdr:to>
      <xdr:col>13</xdr:col>
      <xdr:colOff>30817</xdr:colOff>
      <xdr:row>4</xdr:row>
      <xdr:rowOff>56029</xdr:rowOff>
    </xdr:to>
    <xdr:pic>
      <xdr:nvPicPr>
        <xdr:cNvPr id="20" name="Picture 19" descr="https://image.freepik.com/free-icon/ascendant-bars-graphic_318-49919.png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5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70000" contrast="-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183880" y="0"/>
          <a:ext cx="0" cy="8274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219076</xdr:colOff>
      <xdr:row>0</xdr:row>
      <xdr:rowOff>0</xdr:rowOff>
    </xdr:from>
    <xdr:to>
      <xdr:col>9</xdr:col>
      <xdr:colOff>219076</xdr:colOff>
      <xdr:row>2</xdr:row>
      <xdr:rowOff>142875</xdr:rowOff>
    </xdr:to>
    <xdr:pic>
      <xdr:nvPicPr>
        <xdr:cNvPr id="23" name="Picture 22" descr="https://image.freepik.com/free-icon/ascendant-bars-graphic_318-49919.png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15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lum bright="70000" contrast="-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29275" y="0"/>
          <a:ext cx="0" cy="495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lassdoor.com/Salaries/ai-marketing-specialist-salary-SRCH_KO0%2C23.ht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www.indeed.com/hire/job-description/ai-engineer" TargetMode="External"/><Relationship Id="rId1" Type="http://schemas.openxmlformats.org/officeDocument/2006/relationships/hyperlink" Target="https://www.salary.com/research/salary/benchmark/chief-technology-officer-salary" TargetMode="External"/><Relationship Id="rId6" Type="http://schemas.openxmlformats.org/officeDocument/2006/relationships/hyperlink" Target="https://www.glassdoor.com/Salaries/compliance-security-lead-salary-SRCH_KO0,23.htm" TargetMode="External"/><Relationship Id="rId5" Type="http://schemas.openxmlformats.org/officeDocument/2006/relationships/hyperlink" Target="bls.gov/ooh/office-and-administrative-support/secretaries-and-administrative-assistants.htm?utm_so" TargetMode="External"/><Relationship Id="rId4" Type="http://schemas.openxmlformats.org/officeDocument/2006/relationships/hyperlink" Target="salary.com/research/salary/listing/manufacturing-technician-salary?utm_source=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investing.com/rates-bonds/u.s.-5-year-bond-yield" TargetMode="External"/><Relationship Id="rId1" Type="http://schemas.openxmlformats.org/officeDocument/2006/relationships/hyperlink" Target="http://pages.stern.nyu.edu/~adamodar/New_Home_Page/datafile/Betas.html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8:P21"/>
  <sheetViews>
    <sheetView showGridLines="0" zoomScale="85" zoomScaleNormal="85" workbookViewId="0">
      <selection activeCell="J6" sqref="J6"/>
    </sheetView>
  </sheetViews>
  <sheetFormatPr defaultColWidth="9" defaultRowHeight="14.4"/>
  <sheetData>
    <row r="8" spans="1:16">
      <c r="A8" s="219"/>
      <c r="B8" s="219"/>
      <c r="C8" s="219"/>
      <c r="D8" s="219"/>
      <c r="E8" s="219"/>
      <c r="F8" s="219"/>
      <c r="G8" s="219"/>
      <c r="H8" s="219"/>
      <c r="I8" s="219"/>
      <c r="J8" s="219"/>
      <c r="K8" s="219"/>
      <c r="L8" s="219"/>
      <c r="M8" s="219"/>
      <c r="N8" s="219"/>
      <c r="O8" s="219"/>
      <c r="P8" s="219"/>
    </row>
    <row r="9" spans="1:16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  <c r="M9" s="219"/>
      <c r="N9" s="219"/>
      <c r="O9" s="219"/>
      <c r="P9" s="219"/>
    </row>
    <row r="10" spans="1:16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  <c r="M10" s="219"/>
      <c r="N10" s="219"/>
      <c r="O10" s="219"/>
      <c r="P10" s="219"/>
    </row>
    <row r="11" spans="1:16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19"/>
      <c r="O11" s="219"/>
      <c r="P11" s="219"/>
    </row>
    <row r="12" spans="1:16">
      <c r="A12" s="219"/>
      <c r="B12" s="219"/>
      <c r="C12" s="219"/>
      <c r="E12" s="219"/>
      <c r="F12" s="219"/>
      <c r="H12" s="219"/>
      <c r="I12" s="219"/>
      <c r="J12" s="219"/>
      <c r="K12" s="219"/>
      <c r="L12" s="219"/>
      <c r="M12" s="219"/>
      <c r="N12" s="219"/>
      <c r="O12" s="219"/>
      <c r="P12" s="219"/>
    </row>
    <row r="13" spans="1:16" ht="66">
      <c r="A13" s="219"/>
      <c r="B13" s="219"/>
      <c r="C13" s="219"/>
      <c r="D13" s="219"/>
      <c r="E13" s="219"/>
      <c r="F13" s="220"/>
      <c r="G13" s="219"/>
      <c r="H13" s="219"/>
      <c r="I13" s="221"/>
      <c r="J13" s="219"/>
      <c r="K13" s="219"/>
      <c r="L13" s="219"/>
      <c r="M13" s="219"/>
      <c r="N13" s="219"/>
      <c r="O13" s="219"/>
      <c r="P13" s="219"/>
    </row>
    <row r="14" spans="1:16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  <c r="M14" s="219"/>
      <c r="N14" s="219"/>
      <c r="O14" s="219"/>
      <c r="P14" s="219"/>
    </row>
    <row r="15" spans="1:16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  <c r="M15" s="219"/>
      <c r="N15" s="219"/>
      <c r="O15" s="219"/>
      <c r="P15" s="219"/>
    </row>
    <row r="16" spans="1:16">
      <c r="A16" s="219"/>
      <c r="B16" s="219"/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19"/>
      <c r="N16" s="219"/>
      <c r="O16" s="219"/>
      <c r="P16" s="219"/>
    </row>
    <row r="17" spans="1:16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  <c r="M17" s="219"/>
      <c r="N17" s="219"/>
      <c r="O17" s="219"/>
      <c r="P17" s="219"/>
    </row>
    <row r="18" spans="1:16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  <c r="M18" s="219"/>
      <c r="N18" s="219"/>
      <c r="O18" s="219"/>
      <c r="P18" s="219"/>
    </row>
    <row r="19" spans="1:16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  <c r="M19" s="219"/>
      <c r="N19" s="219"/>
      <c r="O19" s="219"/>
      <c r="P19" s="219"/>
    </row>
    <row r="20" spans="1:16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  <c r="M20" s="219"/>
      <c r="N20" s="219"/>
      <c r="O20" s="219"/>
      <c r="P20" s="219"/>
    </row>
    <row r="21" spans="1:16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  <c r="M21" s="219"/>
      <c r="N21" s="219"/>
      <c r="O21" s="219"/>
      <c r="P21" s="219"/>
    </row>
  </sheetData>
  <pageMargins left="0.7" right="0.7" top="0.75" bottom="0.75" header="0.3" footer="0.3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N86"/>
  <sheetViews>
    <sheetView showGridLines="0" zoomScale="85" zoomScaleNormal="85" workbookViewId="0">
      <selection activeCell="A2" sqref="A2"/>
    </sheetView>
  </sheetViews>
  <sheetFormatPr defaultColWidth="9.109375" defaultRowHeight="15.6"/>
  <cols>
    <col min="1" max="1" width="58.5546875" style="227" bestFit="1" customWidth="1"/>
    <col min="2" max="2" width="17.33203125" style="227" bestFit="1" customWidth="1"/>
    <col min="3" max="3" width="19.88671875" style="227" bestFit="1" customWidth="1"/>
    <col min="4" max="6" width="14.109375" style="245" customWidth="1"/>
    <col min="7" max="7" width="13" style="239" bestFit="1" customWidth="1"/>
    <col min="8" max="8" width="16.109375" style="239" bestFit="1" customWidth="1"/>
    <col min="9" max="9" width="12.6640625" style="231" bestFit="1" customWidth="1"/>
    <col min="10" max="10" width="13" style="231" bestFit="1" customWidth="1"/>
    <col min="11" max="12" width="13" style="218" bestFit="1" customWidth="1"/>
    <col min="13" max="13" width="14.44140625" style="218" bestFit="1" customWidth="1"/>
    <col min="14" max="25" width="11.88671875" style="218" bestFit="1" customWidth="1"/>
    <col min="26" max="26" width="13.44140625" style="218" bestFit="1" customWidth="1"/>
    <col min="27" max="28" width="11.88671875" style="218" bestFit="1" customWidth="1"/>
    <col min="29" max="44" width="13.44140625" style="218" bestFit="1" customWidth="1"/>
    <col min="45" max="57" width="14.6640625" style="218" bestFit="1" customWidth="1"/>
    <col min="58" max="58" width="16.109375" style="218" bestFit="1" customWidth="1"/>
    <col min="59" max="61" width="14.6640625" style="218" bestFit="1" customWidth="1"/>
    <col min="62" max="16384" width="9.109375" style="218"/>
  </cols>
  <sheetData>
    <row r="1" spans="1:14">
      <c r="B1" s="319"/>
      <c r="C1" s="319"/>
      <c r="D1" s="319"/>
      <c r="E1" s="319"/>
      <c r="F1" s="319"/>
    </row>
    <row r="2" spans="1:14" s="228" customFormat="1" ht="17.399999999999999">
      <c r="A2" s="224" t="s">
        <v>0</v>
      </c>
      <c r="B2" s="225" t="s">
        <v>1</v>
      </c>
      <c r="C2" s="225" t="s">
        <v>2</v>
      </c>
      <c r="D2" s="225" t="s">
        <v>3</v>
      </c>
      <c r="E2" s="225" t="s">
        <v>4</v>
      </c>
      <c r="F2" s="225" t="s">
        <v>5</v>
      </c>
      <c r="G2" s="226"/>
      <c r="H2" s="227"/>
    </row>
    <row r="3" spans="1:14">
      <c r="A3" s="229" t="s">
        <v>6</v>
      </c>
      <c r="B3" s="230">
        <v>0.03</v>
      </c>
      <c r="C3" s="230">
        <v>0.1</v>
      </c>
      <c r="D3" s="230">
        <v>0.05</v>
      </c>
      <c r="E3" s="230">
        <v>0.05</v>
      </c>
      <c r="F3" s="230">
        <v>0.05</v>
      </c>
      <c r="G3" s="281"/>
      <c r="H3" s="227"/>
      <c r="J3" s="232"/>
    </row>
    <row r="4" spans="1:14">
      <c r="A4" s="233" t="s">
        <v>7</v>
      </c>
      <c r="B4" s="234"/>
      <c r="C4" s="234">
        <v>0.1</v>
      </c>
      <c r="D4" s="234">
        <f t="shared" ref="D4:F7" si="0">C4</f>
        <v>0.1</v>
      </c>
      <c r="E4" s="234">
        <f t="shared" si="0"/>
        <v>0.1</v>
      </c>
      <c r="F4" s="234">
        <f t="shared" si="0"/>
        <v>0.1</v>
      </c>
      <c r="G4" s="235"/>
      <c r="H4" s="236"/>
      <c r="I4" s="236"/>
      <c r="J4" s="236"/>
      <c r="K4" s="236"/>
    </row>
    <row r="5" spans="1:14">
      <c r="A5" s="233" t="s">
        <v>8</v>
      </c>
      <c r="B5" s="234"/>
      <c r="C5" s="234">
        <v>0.03</v>
      </c>
      <c r="D5" s="234">
        <f t="shared" si="0"/>
        <v>0.03</v>
      </c>
      <c r="E5" s="234">
        <f t="shared" si="0"/>
        <v>0.03</v>
      </c>
      <c r="F5" s="234">
        <f t="shared" si="0"/>
        <v>0.03</v>
      </c>
      <c r="G5" s="235"/>
      <c r="H5" s="236"/>
      <c r="I5" s="236"/>
      <c r="J5" s="236"/>
      <c r="K5" s="236"/>
    </row>
    <row r="6" spans="1:14">
      <c r="A6" s="233" t="s">
        <v>9</v>
      </c>
      <c r="B6" s="234"/>
      <c r="C6" s="234">
        <v>1</v>
      </c>
      <c r="D6" s="234">
        <v>0.06</v>
      </c>
      <c r="E6" s="234">
        <f t="shared" si="0"/>
        <v>0.06</v>
      </c>
      <c r="F6" s="234">
        <f t="shared" si="0"/>
        <v>0.06</v>
      </c>
      <c r="G6" s="235"/>
      <c r="H6" s="236"/>
      <c r="I6" s="236"/>
      <c r="J6" s="236"/>
      <c r="K6" s="236"/>
    </row>
    <row r="7" spans="1:14">
      <c r="A7" s="233" t="s">
        <v>10</v>
      </c>
      <c r="B7" s="234"/>
      <c r="C7" s="234">
        <v>1</v>
      </c>
      <c r="D7" s="234">
        <f>C7</f>
        <v>1</v>
      </c>
      <c r="E7" s="234">
        <f t="shared" si="0"/>
        <v>1</v>
      </c>
      <c r="F7" s="234">
        <f t="shared" si="0"/>
        <v>1</v>
      </c>
      <c r="G7"/>
      <c r="H7" s="237"/>
      <c r="K7" s="231"/>
      <c r="L7" s="231"/>
      <c r="M7" s="231"/>
      <c r="N7" s="231"/>
    </row>
    <row r="8" spans="1:14">
      <c r="A8" s="233" t="s">
        <v>11</v>
      </c>
      <c r="B8" s="230">
        <f>21%</f>
        <v>0.21</v>
      </c>
      <c r="C8" s="222" t="s">
        <v>270</v>
      </c>
      <c r="D8" s="238"/>
      <c r="E8" s="238"/>
      <c r="F8" s="238"/>
      <c r="G8" s="235"/>
      <c r="H8" s="237"/>
      <c r="K8" s="231"/>
      <c r="L8" s="231"/>
      <c r="M8" s="231"/>
      <c r="N8" s="231"/>
    </row>
    <row r="9" spans="1:14">
      <c r="B9" s="240"/>
      <c r="C9" s="240"/>
      <c r="D9" s="240"/>
      <c r="E9" s="240"/>
      <c r="F9" s="240"/>
    </row>
    <row r="10" spans="1:14">
      <c r="B10" s="240"/>
      <c r="C10" s="240"/>
      <c r="D10" s="240"/>
      <c r="E10" s="240"/>
      <c r="F10" s="240"/>
    </row>
    <row r="11" spans="1:14">
      <c r="B11" s="240"/>
      <c r="C11" s="240"/>
      <c r="D11" s="240"/>
      <c r="E11" s="240"/>
      <c r="F11" s="240"/>
    </row>
    <row r="12" spans="1:14" ht="21">
      <c r="A12" s="241" t="s">
        <v>12</v>
      </c>
      <c r="C12" s="271">
        <v>10000000</v>
      </c>
      <c r="D12" s="240"/>
      <c r="E12" s="240"/>
      <c r="F12" s="240"/>
    </row>
    <row r="13" spans="1:14" ht="21">
      <c r="A13" s="241"/>
      <c r="C13" s="271"/>
      <c r="D13" s="240"/>
      <c r="E13" s="240"/>
      <c r="F13" s="240"/>
    </row>
    <row r="14" spans="1:14" ht="21">
      <c r="A14" s="243" t="s">
        <v>274</v>
      </c>
      <c r="B14" s="244"/>
      <c r="C14" s="272">
        <v>0</v>
      </c>
      <c r="D14" s="240"/>
      <c r="E14" s="240"/>
      <c r="F14" s="240"/>
    </row>
    <row r="15" spans="1:14" ht="21">
      <c r="A15" s="243" t="s">
        <v>13</v>
      </c>
      <c r="B15" s="244"/>
      <c r="C15" s="272">
        <f>C12-C14</f>
        <v>10000000</v>
      </c>
      <c r="D15" s="240"/>
      <c r="E15" s="240"/>
      <c r="F15" s="240"/>
    </row>
    <row r="16" spans="1:14" ht="21">
      <c r="A16" s="241"/>
      <c r="C16" s="242"/>
      <c r="D16" s="240"/>
      <c r="E16" s="240"/>
      <c r="F16" s="240"/>
    </row>
    <row r="17" spans="1:6">
      <c r="B17" s="240"/>
      <c r="C17" s="240"/>
      <c r="D17" s="240"/>
      <c r="E17" s="240"/>
      <c r="F17" s="240"/>
    </row>
    <row r="18" spans="1:6" ht="21">
      <c r="A18" s="241" t="s">
        <v>14</v>
      </c>
      <c r="C18" s="245"/>
    </row>
    <row r="19" spans="1:6" ht="17.399999999999999">
      <c r="A19" s="224" t="s">
        <v>266</v>
      </c>
      <c r="B19" s="246" t="s">
        <v>15</v>
      </c>
      <c r="C19" s="246" t="s">
        <v>16</v>
      </c>
    </row>
    <row r="20" spans="1:6">
      <c r="A20" s="247" t="s">
        <v>324</v>
      </c>
      <c r="B20" s="252">
        <v>2000000</v>
      </c>
      <c r="C20" s="248">
        <v>0.03</v>
      </c>
    </row>
    <row r="21" spans="1:6">
      <c r="A21" s="247" t="s">
        <v>313</v>
      </c>
      <c r="B21" s="252">
        <v>1500000</v>
      </c>
      <c r="C21" s="248">
        <v>0.03</v>
      </c>
    </row>
    <row r="22" spans="1:6">
      <c r="A22" s="247" t="s">
        <v>323</v>
      </c>
      <c r="B22" s="252">
        <v>950000</v>
      </c>
      <c r="C22" s="248">
        <v>0.03</v>
      </c>
    </row>
    <row r="23" spans="1:6">
      <c r="A23" s="247"/>
      <c r="B23" s="252"/>
      <c r="C23" s="248">
        <v>0.03</v>
      </c>
      <c r="D23" s="249"/>
      <c r="E23" s="249"/>
      <c r="F23" s="249"/>
    </row>
    <row r="24" spans="1:6">
      <c r="A24" s="247"/>
      <c r="B24" s="252"/>
      <c r="C24" s="248">
        <v>0.03</v>
      </c>
    </row>
    <row r="25" spans="1:6">
      <c r="A25" s="247"/>
      <c r="B25" s="250"/>
      <c r="C25" s="248">
        <v>0.03</v>
      </c>
    </row>
    <row r="26" spans="1:6">
      <c r="A26"/>
      <c r="B26" s="286"/>
      <c r="C26"/>
    </row>
    <row r="27" spans="1:6" ht="17.399999999999999">
      <c r="A27" s="224" t="s">
        <v>17</v>
      </c>
      <c r="B27" s="246" t="s">
        <v>18</v>
      </c>
      <c r="C27" s="246" t="s">
        <v>19</v>
      </c>
    </row>
    <row r="28" spans="1:6">
      <c r="A28" s="251" t="str">
        <f>IF(A20="","",A20)</f>
        <v>Metal Fabrication Shop Acquisition</v>
      </c>
      <c r="B28" s="252" t="s">
        <v>58</v>
      </c>
      <c r="C28" s="252">
        <v>0</v>
      </c>
    </row>
    <row r="29" spans="1:6">
      <c r="A29" s="251" t="str">
        <f>IF(A21="","",A21)</f>
        <v>R&amp;D Surveillance System</v>
      </c>
      <c r="B29" s="252" t="s">
        <v>58</v>
      </c>
      <c r="C29" s="252">
        <v>0</v>
      </c>
    </row>
    <row r="30" spans="1:6">
      <c r="A30" s="251" t="str">
        <f>IF(A22="","",A22)</f>
        <v>Shop Upgrades</v>
      </c>
      <c r="B30" s="252" t="s">
        <v>58</v>
      </c>
      <c r="C30" s="252">
        <v>0</v>
      </c>
    </row>
    <row r="31" spans="1:6">
      <c r="A31" s="251" t="str">
        <f>IF(A23="","",A23)</f>
        <v/>
      </c>
      <c r="B31" s="252" t="s">
        <v>58</v>
      </c>
      <c r="C31" s="252">
        <v>0</v>
      </c>
    </row>
    <row r="32" spans="1:6">
      <c r="A32" s="251" t="str">
        <f>IF(A24="","",A24)</f>
        <v/>
      </c>
      <c r="B32" s="252" t="s">
        <v>58</v>
      </c>
      <c r="C32" s="252">
        <v>0</v>
      </c>
    </row>
    <row r="33" spans="1:8">
      <c r="C33" s="253"/>
    </row>
    <row r="35" spans="1:8" ht="17.399999999999999">
      <c r="A35" s="224" t="s">
        <v>21</v>
      </c>
      <c r="B35" s="246" t="s">
        <v>19</v>
      </c>
    </row>
    <row r="36" spans="1:8">
      <c r="A36" s="254" t="s">
        <v>282</v>
      </c>
      <c r="B36" s="252">
        <v>250000</v>
      </c>
    </row>
    <row r="37" spans="1:8">
      <c r="A37" s="254" t="s">
        <v>269</v>
      </c>
      <c r="B37" s="252">
        <v>300000</v>
      </c>
    </row>
    <row r="38" spans="1:8">
      <c r="A38" s="254" t="s">
        <v>312</v>
      </c>
      <c r="B38" s="252">
        <v>500000</v>
      </c>
    </row>
    <row r="39" spans="1:8">
      <c r="A39" s="254" t="s">
        <v>273</v>
      </c>
      <c r="B39" s="252">
        <v>300000</v>
      </c>
    </row>
    <row r="40" spans="1:8">
      <c r="A40" s="254" t="s">
        <v>34</v>
      </c>
      <c r="B40" s="252">
        <v>50000</v>
      </c>
    </row>
    <row r="44" spans="1:8" ht="21">
      <c r="A44" s="241" t="s">
        <v>22</v>
      </c>
    </row>
    <row r="45" spans="1:8" ht="17.399999999999999">
      <c r="A45" s="255"/>
      <c r="B45" s="256"/>
      <c r="C45" s="256" t="s">
        <v>1</v>
      </c>
      <c r="D45" s="256" t="s">
        <v>2</v>
      </c>
      <c r="E45" s="256" t="s">
        <v>3</v>
      </c>
      <c r="F45" s="256" t="s">
        <v>4</v>
      </c>
      <c r="G45" s="256" t="s">
        <v>5</v>
      </c>
    </row>
    <row r="46" spans="1:8" ht="34.799999999999997">
      <c r="A46" s="255" t="s">
        <v>23</v>
      </c>
      <c r="B46" s="256" t="s">
        <v>24</v>
      </c>
      <c r="C46" s="256" t="s">
        <v>25</v>
      </c>
      <c r="D46" s="256" t="s">
        <v>25</v>
      </c>
      <c r="E46" s="256" t="s">
        <v>25</v>
      </c>
      <c r="F46" s="256" t="s">
        <v>25</v>
      </c>
      <c r="G46" s="256" t="s">
        <v>25</v>
      </c>
    </row>
    <row r="47" spans="1:8">
      <c r="A47" s="257" t="s">
        <v>267</v>
      </c>
      <c r="B47" s="252">
        <v>0</v>
      </c>
      <c r="C47" s="258">
        <v>1</v>
      </c>
      <c r="D47" s="258">
        <v>1</v>
      </c>
      <c r="E47" s="258">
        <f t="shared" ref="E47:G48" si="1">D47</f>
        <v>1</v>
      </c>
      <c r="F47" s="258">
        <f t="shared" si="1"/>
        <v>1</v>
      </c>
      <c r="G47" s="258">
        <f t="shared" si="1"/>
        <v>1</v>
      </c>
    </row>
    <row r="48" spans="1:8">
      <c r="A48" s="257" t="s">
        <v>283</v>
      </c>
      <c r="B48" s="252">
        <f>346493/12</f>
        <v>28874.416666666668</v>
      </c>
      <c r="C48" s="258">
        <v>1</v>
      </c>
      <c r="D48" s="258">
        <v>1</v>
      </c>
      <c r="E48" s="258">
        <f t="shared" si="1"/>
        <v>1</v>
      </c>
      <c r="F48" s="258">
        <f t="shared" si="1"/>
        <v>1</v>
      </c>
      <c r="G48" s="258">
        <f t="shared" si="1"/>
        <v>1</v>
      </c>
      <c r="H48" s="223" t="s">
        <v>303</v>
      </c>
    </row>
    <row r="49" spans="1:8">
      <c r="A49" s="257" t="s">
        <v>284</v>
      </c>
      <c r="B49" s="252">
        <f>161804/12</f>
        <v>13483.666666666666</v>
      </c>
      <c r="C49" s="258">
        <v>1</v>
      </c>
      <c r="D49" s="258">
        <f>C49</f>
        <v>1</v>
      </c>
      <c r="E49" s="258">
        <f>D49+1</f>
        <v>2</v>
      </c>
      <c r="F49" s="258">
        <f>E49</f>
        <v>2</v>
      </c>
      <c r="G49" s="258">
        <f>F49</f>
        <v>2</v>
      </c>
      <c r="H49" s="223" t="s">
        <v>304</v>
      </c>
    </row>
    <row r="50" spans="1:8">
      <c r="A50" s="257" t="s">
        <v>285</v>
      </c>
      <c r="B50" s="252">
        <f>110586/12</f>
        <v>9215.5</v>
      </c>
      <c r="C50" s="258">
        <v>1</v>
      </c>
      <c r="D50" s="258">
        <v>1</v>
      </c>
      <c r="E50" s="258">
        <v>1</v>
      </c>
      <c r="F50" s="258">
        <v>1</v>
      </c>
      <c r="G50" s="258">
        <v>1</v>
      </c>
      <c r="H50" s="223" t="s">
        <v>316</v>
      </c>
    </row>
    <row r="51" spans="1:8">
      <c r="A51" s="257" t="s">
        <v>314</v>
      </c>
      <c r="B51" s="252">
        <f>90436/12</f>
        <v>7536.333333333333</v>
      </c>
      <c r="C51" s="258">
        <v>1</v>
      </c>
      <c r="D51" s="258">
        <v>1</v>
      </c>
      <c r="E51" s="258">
        <v>1</v>
      </c>
      <c r="F51" s="258">
        <v>1</v>
      </c>
      <c r="G51" s="258">
        <v>1</v>
      </c>
      <c r="H51" s="223" t="s">
        <v>305</v>
      </c>
    </row>
    <row r="52" spans="1:8">
      <c r="A52" s="257" t="s">
        <v>286</v>
      </c>
      <c r="B52" s="252">
        <f>46010/12</f>
        <v>3834.1666666666665</v>
      </c>
      <c r="C52" s="258">
        <v>2</v>
      </c>
      <c r="D52" s="258">
        <v>2</v>
      </c>
      <c r="E52" s="258">
        <v>2</v>
      </c>
      <c r="F52" s="258">
        <v>2</v>
      </c>
      <c r="G52" s="258">
        <v>2</v>
      </c>
      <c r="H52" s="223" t="s">
        <v>307</v>
      </c>
    </row>
    <row r="53" spans="1:8">
      <c r="A53" s="257" t="s">
        <v>287</v>
      </c>
      <c r="B53" s="252">
        <f>49898/12</f>
        <v>4158.166666666667</v>
      </c>
      <c r="C53" s="258">
        <v>3</v>
      </c>
      <c r="D53" s="258">
        <v>5</v>
      </c>
      <c r="E53" s="258">
        <v>5</v>
      </c>
      <c r="F53" s="258">
        <v>6</v>
      </c>
      <c r="G53" s="258">
        <v>7</v>
      </c>
      <c r="H53" s="223" t="s">
        <v>306</v>
      </c>
    </row>
    <row r="54" spans="1:8">
      <c r="A54" s="259"/>
      <c r="B54" s="260"/>
      <c r="C54" s="261"/>
      <c r="D54" s="261"/>
      <c r="E54" s="261"/>
      <c r="F54" s="261"/>
      <c r="G54" s="261"/>
    </row>
    <row r="55" spans="1:8">
      <c r="A55" s="262" t="s">
        <v>26</v>
      </c>
      <c r="B55" s="263"/>
      <c r="C55" s="264">
        <f>SUM(C47:C53)</f>
        <v>10</v>
      </c>
      <c r="D55" s="264">
        <f>SUM(D47:D53)</f>
        <v>12</v>
      </c>
      <c r="E55" s="264">
        <f>SUM(E47:E53)</f>
        <v>13</v>
      </c>
      <c r="F55" s="264">
        <f>SUM(F47:F53)</f>
        <v>14</v>
      </c>
      <c r="G55" s="264">
        <f>SUM(G47:G53)</f>
        <v>15</v>
      </c>
    </row>
    <row r="59" spans="1:8" ht="21">
      <c r="A59" s="241" t="s">
        <v>271</v>
      </c>
    </row>
    <row r="60" spans="1:8">
      <c r="A60" s="265" t="s">
        <v>155</v>
      </c>
      <c r="B60" s="293">
        <f>C14</f>
        <v>0</v>
      </c>
      <c r="C60" s="265"/>
    </row>
    <row r="61" spans="1:8">
      <c r="A61" s="265" t="s">
        <v>27</v>
      </c>
      <c r="B61" s="266">
        <v>0.115</v>
      </c>
      <c r="C61" s="41" t="s">
        <v>272</v>
      </c>
    </row>
    <row r="62" spans="1:8">
      <c r="A62" s="265" t="s">
        <v>28</v>
      </c>
      <c r="B62" s="267">
        <v>10</v>
      </c>
      <c r="C62" s="265" t="s">
        <v>29</v>
      </c>
    </row>
    <row r="66" spans="1:7" ht="21">
      <c r="A66" s="241" t="s">
        <v>30</v>
      </c>
    </row>
    <row r="67" spans="1:7" ht="17.399999999999999">
      <c r="A67" s="268" t="s">
        <v>31</v>
      </c>
      <c r="B67" s="246" t="s">
        <v>32</v>
      </c>
    </row>
    <row r="68" spans="1:7" ht="13.5" customHeight="1">
      <c r="A68" s="300" t="s">
        <v>288</v>
      </c>
      <c r="B68" s="301">
        <v>16000</v>
      </c>
      <c r="C68" s="287"/>
    </row>
    <row r="69" spans="1:7">
      <c r="A69" s="269" t="s">
        <v>289</v>
      </c>
      <c r="B69" s="273">
        <v>9100</v>
      </c>
    </row>
    <row r="70" spans="1:7">
      <c r="A70" s="269" t="s">
        <v>299</v>
      </c>
      <c r="B70" s="273">
        <v>11500</v>
      </c>
      <c r="G70" s="245"/>
    </row>
    <row r="71" spans="1:7">
      <c r="A71" s="269" t="s">
        <v>290</v>
      </c>
      <c r="B71" s="273">
        <v>8000</v>
      </c>
      <c r="G71" s="245"/>
    </row>
    <row r="72" spans="1:7">
      <c r="A72" s="269" t="s">
        <v>33</v>
      </c>
      <c r="B72" s="294">
        <v>7.0000000000000007E-2</v>
      </c>
      <c r="C72" s="287"/>
      <c r="G72" s="245"/>
    </row>
    <row r="73" spans="1:7">
      <c r="A73" s="269" t="s">
        <v>291</v>
      </c>
      <c r="B73" s="274">
        <v>5500</v>
      </c>
      <c r="C73" s="287"/>
      <c r="G73" s="245"/>
    </row>
    <row r="74" spans="1:7">
      <c r="A74" s="269" t="s">
        <v>34</v>
      </c>
      <c r="B74" s="274">
        <v>1500</v>
      </c>
      <c r="G74" s="245"/>
    </row>
    <row r="75" spans="1:7">
      <c r="A75" s="269"/>
      <c r="B75" s="274"/>
      <c r="G75" s="245"/>
    </row>
    <row r="76" spans="1:7" ht="16.2" thickBot="1">
      <c r="A76" s="262" t="s">
        <v>35</v>
      </c>
      <c r="B76" s="275">
        <f>SUM(B68:B74)</f>
        <v>51600.07</v>
      </c>
      <c r="G76" s="245"/>
    </row>
    <row r="77" spans="1:7" ht="16.2" thickTop="1">
      <c r="B77" s="270"/>
      <c r="G77" s="245"/>
    </row>
    <row r="78" spans="1:7" ht="17.399999999999999">
      <c r="A78" s="268" t="s">
        <v>294</v>
      </c>
      <c r="B78" s="246"/>
    </row>
    <row r="79" spans="1:7">
      <c r="A79" s="300" t="s">
        <v>295</v>
      </c>
      <c r="B79" s="302">
        <v>0.19</v>
      </c>
    </row>
    <row r="80" spans="1:7">
      <c r="A80" s="300" t="s">
        <v>296</v>
      </c>
      <c r="B80" s="302">
        <v>7.0000000000000007E-2</v>
      </c>
    </row>
    <row r="81" spans="1:2">
      <c r="A81" s="300" t="s">
        <v>297</v>
      </c>
      <c r="B81" s="302">
        <v>0.03</v>
      </c>
    </row>
    <row r="82" spans="1:2">
      <c r="A82" s="300" t="s">
        <v>317</v>
      </c>
      <c r="B82" s="302">
        <v>0.02</v>
      </c>
    </row>
    <row r="83" spans="1:2">
      <c r="A83" s="300" t="s">
        <v>298</v>
      </c>
      <c r="B83" s="302">
        <v>0.02</v>
      </c>
    </row>
    <row r="84" spans="1:2">
      <c r="A84" s="300"/>
      <c r="B84" s="302"/>
    </row>
    <row r="85" spans="1:2">
      <c r="A85" s="306" t="s">
        <v>322</v>
      </c>
      <c r="B85" s="303">
        <f>SUM(B79:B83)</f>
        <v>0.33000000000000007</v>
      </c>
    </row>
    <row r="86" spans="1:2">
      <c r="A86" s="306" t="s">
        <v>321</v>
      </c>
      <c r="B86" s="314">
        <f>B85+20%</f>
        <v>0.53</v>
      </c>
    </row>
  </sheetData>
  <dataValidations count="1">
    <dataValidation type="list" allowBlank="1" showInputMessage="1" showErrorMessage="1" sqref="B28:B32" xr:uid="{00000000-0002-0000-0100-000000000000}"/>
  </dataValidations>
  <hyperlinks>
    <hyperlink ref="H48" r:id="rId1" xr:uid="{00000000-0004-0000-0100-000000000000}"/>
    <hyperlink ref="H49" r:id="rId2" xr:uid="{00000000-0004-0000-0100-000001000000}"/>
    <hyperlink ref="H51" r:id="rId3" xr:uid="{00000000-0004-0000-0100-000002000000}"/>
    <hyperlink ref="H53" r:id="rId4" xr:uid="{00000000-0004-0000-0100-000003000000}"/>
    <hyperlink ref="H52" r:id="rId5" xr:uid="{00000000-0004-0000-0100-000004000000}"/>
    <hyperlink ref="H50" r:id="rId6" xr:uid="{00000000-0004-0000-0100-000005000000}"/>
  </hyperlinks>
  <pageMargins left="0.7" right="0.7" top="0.75" bottom="0.75" header="0.3" footer="0.3"/>
  <pageSetup orientation="portrait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3"/>
  <dimension ref="A2:BJ15"/>
  <sheetViews>
    <sheetView showGridLines="0" zoomScale="85" zoomScaleNormal="85" workbookViewId="0">
      <selection activeCell="A2" sqref="A2"/>
    </sheetView>
  </sheetViews>
  <sheetFormatPr defaultColWidth="9.109375" defaultRowHeight="17.399999999999999"/>
  <cols>
    <col min="1" max="1" width="35.109375" style="216" customWidth="1"/>
    <col min="2" max="61" width="11.88671875" style="216" customWidth="1"/>
    <col min="62" max="16384" width="9.109375" style="216"/>
  </cols>
  <sheetData>
    <row r="2" spans="1:62">
      <c r="A2" s="216" t="s">
        <v>36</v>
      </c>
      <c r="B2" s="217">
        <v>0.8</v>
      </c>
    </row>
    <row r="3" spans="1:62">
      <c r="A3" s="216" t="s">
        <v>37</v>
      </c>
      <c r="B3" s="217">
        <f>1-B2</f>
        <v>0.19999999999999996</v>
      </c>
    </row>
    <row r="4" spans="1:62">
      <c r="A4" s="216" t="s">
        <v>38</v>
      </c>
      <c r="B4" s="216">
        <v>2</v>
      </c>
      <c r="C4" s="216" t="s">
        <v>39</v>
      </c>
    </row>
    <row r="6" spans="1:62">
      <c r="A6" s="174" t="s">
        <v>40</v>
      </c>
      <c r="B6" s="171" t="s">
        <v>15</v>
      </c>
      <c r="C6" s="171" t="s">
        <v>41</v>
      </c>
      <c r="D6" s="171" t="s">
        <v>42</v>
      </c>
      <c r="E6" s="171" t="s">
        <v>43</v>
      </c>
      <c r="F6" s="171" t="s">
        <v>44</v>
      </c>
      <c r="G6" s="171" t="s">
        <v>45</v>
      </c>
      <c r="H6" s="171" t="s">
        <v>46</v>
      </c>
      <c r="I6" s="171" t="s">
        <v>47</v>
      </c>
      <c r="J6" s="171" t="s">
        <v>48</v>
      </c>
      <c r="K6" s="171" t="s">
        <v>49</v>
      </c>
      <c r="L6" s="171" t="s">
        <v>50</v>
      </c>
      <c r="M6" s="171" t="s">
        <v>51</v>
      </c>
      <c r="N6" s="171" t="s">
        <v>20</v>
      </c>
      <c r="O6" s="171" t="s">
        <v>52</v>
      </c>
      <c r="P6" s="171" t="s">
        <v>53</v>
      </c>
      <c r="Q6" s="171" t="s">
        <v>54</v>
      </c>
      <c r="R6" s="171" t="s">
        <v>55</v>
      </c>
      <c r="S6" s="171" t="s">
        <v>56</v>
      </c>
      <c r="T6" s="171" t="s">
        <v>57</v>
      </c>
      <c r="U6" s="171" t="s">
        <v>58</v>
      </c>
      <c r="V6" s="171" t="s">
        <v>59</v>
      </c>
      <c r="W6" s="171" t="s">
        <v>60</v>
      </c>
      <c r="X6" s="171" t="s">
        <v>61</v>
      </c>
      <c r="Y6" s="171" t="s">
        <v>62</v>
      </c>
      <c r="Z6" s="171" t="s">
        <v>63</v>
      </c>
      <c r="AA6" s="171" t="s">
        <v>64</v>
      </c>
      <c r="AB6" s="171" t="s">
        <v>65</v>
      </c>
      <c r="AC6" s="171" t="s">
        <v>66</v>
      </c>
      <c r="AD6" s="171" t="s">
        <v>67</v>
      </c>
      <c r="AE6" s="171" t="s">
        <v>68</v>
      </c>
      <c r="AF6" s="171" t="s">
        <v>69</v>
      </c>
      <c r="AG6" s="171" t="s">
        <v>70</v>
      </c>
      <c r="AH6" s="171" t="s">
        <v>71</v>
      </c>
      <c r="AI6" s="171" t="s">
        <v>72</v>
      </c>
      <c r="AJ6" s="171" t="s">
        <v>73</v>
      </c>
      <c r="AK6" s="171" t="s">
        <v>74</v>
      </c>
      <c r="AL6" s="171" t="s">
        <v>75</v>
      </c>
      <c r="AM6" s="171" t="s">
        <v>76</v>
      </c>
      <c r="AN6" s="171" t="s">
        <v>77</v>
      </c>
      <c r="AO6" s="171" t="s">
        <v>78</v>
      </c>
      <c r="AP6" s="171" t="s">
        <v>79</v>
      </c>
      <c r="AQ6" s="171" t="s">
        <v>80</v>
      </c>
      <c r="AR6" s="171" t="s">
        <v>81</v>
      </c>
      <c r="AS6" s="171" t="s">
        <v>82</v>
      </c>
      <c r="AT6" s="171" t="s">
        <v>83</v>
      </c>
      <c r="AU6" s="171" t="s">
        <v>84</v>
      </c>
      <c r="AV6" s="171" t="s">
        <v>85</v>
      </c>
      <c r="AW6" s="171" t="s">
        <v>86</v>
      </c>
      <c r="AX6" s="171" t="s">
        <v>87</v>
      </c>
      <c r="AY6" s="171" t="s">
        <v>88</v>
      </c>
      <c r="AZ6" s="171" t="s">
        <v>89</v>
      </c>
      <c r="BA6" s="171" t="s">
        <v>90</v>
      </c>
      <c r="BB6" s="171" t="s">
        <v>91</v>
      </c>
      <c r="BC6" s="171" t="s">
        <v>92</v>
      </c>
      <c r="BD6" s="171" t="s">
        <v>93</v>
      </c>
      <c r="BE6" s="171" t="s">
        <v>94</v>
      </c>
      <c r="BF6" s="171" t="s">
        <v>95</v>
      </c>
      <c r="BG6" s="171" t="s">
        <v>96</v>
      </c>
      <c r="BH6" s="171" t="s">
        <v>97</v>
      </c>
      <c r="BI6" s="171" t="s">
        <v>98</v>
      </c>
    </row>
    <row r="7" spans="1:62">
      <c r="A7" s="211" t="s">
        <v>99</v>
      </c>
      <c r="B7" s="212">
        <f>'Revenue Forecasts'!B6</f>
        <v>262500</v>
      </c>
      <c r="C7" s="212">
        <f>'Revenue Forecasts'!C6</f>
        <v>270375.00000000006</v>
      </c>
      <c r="D7" s="212">
        <f>'Revenue Forecasts'!D6</f>
        <v>278486.25</v>
      </c>
      <c r="E7" s="212">
        <f>'Revenue Forecasts'!E6</f>
        <v>286840.83750000002</v>
      </c>
      <c r="F7" s="212">
        <f>'Revenue Forecasts'!F6</f>
        <v>295446.06262500002</v>
      </c>
      <c r="G7" s="212">
        <f>'Revenue Forecasts'!G6</f>
        <v>304309.44450375001</v>
      </c>
      <c r="H7" s="212">
        <f>'Revenue Forecasts'!H6</f>
        <v>313438.72783886257</v>
      </c>
      <c r="I7" s="212">
        <f>'Revenue Forecasts'!I6</f>
        <v>322841.88967402844</v>
      </c>
      <c r="J7" s="212">
        <f>'Revenue Forecasts'!J6</f>
        <v>332527.14636424929</v>
      </c>
      <c r="K7" s="212">
        <f>'Revenue Forecasts'!K6</f>
        <v>342502.96075517678</v>
      </c>
      <c r="L7" s="212">
        <f>'Revenue Forecasts'!L6</f>
        <v>352778.04957783211</v>
      </c>
      <c r="M7" s="212">
        <f>'Revenue Forecasts'!M6</f>
        <v>363361.39106516703</v>
      </c>
      <c r="N7" s="212">
        <f>'Revenue Forecasts'!N6</f>
        <v>524697.53017168376</v>
      </c>
      <c r="O7" s="212">
        <f>'Revenue Forecasts'!O6</f>
        <v>577167.28318885225</v>
      </c>
      <c r="P7" s="212">
        <f>'Revenue Forecasts'!P6</f>
        <v>634884.01150773745</v>
      </c>
      <c r="Q7" s="212">
        <f>'Revenue Forecasts'!Q6</f>
        <v>698372.4126585112</v>
      </c>
      <c r="R7" s="212">
        <f>'Revenue Forecasts'!R6</f>
        <v>768209.65392436238</v>
      </c>
      <c r="S7" s="212">
        <f>'Revenue Forecasts'!S6</f>
        <v>845030.61931679875</v>
      </c>
      <c r="T7" s="212">
        <f>'Revenue Forecasts'!T6</f>
        <v>929533.68124847859</v>
      </c>
      <c r="U7" s="212">
        <f>'Revenue Forecasts'!U6</f>
        <v>1022487.0493733266</v>
      </c>
      <c r="V7" s="212">
        <f>'Revenue Forecasts'!V6</f>
        <v>1124735.7543106594</v>
      </c>
      <c r="W7" s="212">
        <f>'Revenue Forecasts'!W6</f>
        <v>1237209.3297417252</v>
      </c>
      <c r="X7" s="212">
        <f>'Revenue Forecasts'!X6</f>
        <v>1360930.262715898</v>
      </c>
      <c r="Y7" s="212">
        <f>'Revenue Forecasts'!Y6</f>
        <v>1497023.2889874878</v>
      </c>
      <c r="Z7" s="212">
        <f>'Revenue Forecasts'!Z6</f>
        <v>1571874.453436862</v>
      </c>
      <c r="AA7" s="212">
        <f>'Revenue Forecasts'!AA6</f>
        <v>1650468.1761087053</v>
      </c>
      <c r="AB7" s="212">
        <f>'Revenue Forecasts'!AB6</f>
        <v>1732991.5849141406</v>
      </c>
      <c r="AC7" s="212">
        <f>'Revenue Forecasts'!AC6</f>
        <v>1819641.1641598477</v>
      </c>
      <c r="AD7" s="212">
        <f>'Revenue Forecasts'!AD6</f>
        <v>1910623.2223678401</v>
      </c>
      <c r="AE7" s="212">
        <f>'Revenue Forecasts'!AE6</f>
        <v>2006154.3834862323</v>
      </c>
      <c r="AF7" s="212">
        <f>'Revenue Forecasts'!AF6</f>
        <v>2106462.1026605442</v>
      </c>
      <c r="AG7" s="212">
        <f>'Revenue Forecasts'!AG6</f>
        <v>2211785.2077935711</v>
      </c>
      <c r="AH7" s="212">
        <f>'Revenue Forecasts'!AH6</f>
        <v>2322374.4681832502</v>
      </c>
      <c r="AI7" s="212">
        <f>'Revenue Forecasts'!AI6</f>
        <v>2438493.1915924125</v>
      </c>
      <c r="AJ7" s="212">
        <f>'Revenue Forecasts'!AJ6</f>
        <v>2560417.8511720337</v>
      </c>
      <c r="AK7" s="212">
        <f>'Revenue Forecasts'!AK6</f>
        <v>2688438.7437306354</v>
      </c>
      <c r="AL7" s="212">
        <f>'Revenue Forecasts'!AL6</f>
        <v>2822860.6809171671</v>
      </c>
      <c r="AM7" s="212">
        <f>'Revenue Forecasts'!AM6</f>
        <v>2964003.7149630254</v>
      </c>
      <c r="AN7" s="212">
        <f>'Revenue Forecasts'!AN6</f>
        <v>3112203.9007111769</v>
      </c>
      <c r="AO7" s="212">
        <f>'Revenue Forecasts'!AO6</f>
        <v>3267814.0957467356</v>
      </c>
      <c r="AP7" s="212">
        <f>'Revenue Forecasts'!AP6</f>
        <v>3431204.8005340728</v>
      </c>
      <c r="AQ7" s="212">
        <f>'Revenue Forecasts'!AQ6</f>
        <v>3602765.0405607768</v>
      </c>
      <c r="AR7" s="212">
        <f>'Revenue Forecasts'!AR6</f>
        <v>3782903.2925888156</v>
      </c>
      <c r="AS7" s="212">
        <f>'Revenue Forecasts'!AS6</f>
        <v>3972048.4572182568</v>
      </c>
      <c r="AT7" s="212">
        <f>'Revenue Forecasts'!AT6</f>
        <v>4170650.8800791693</v>
      </c>
      <c r="AU7" s="212">
        <f>'Revenue Forecasts'!AU6</f>
        <v>4379183.4240831286</v>
      </c>
      <c r="AV7" s="212">
        <f>'Revenue Forecasts'!AV6</f>
        <v>4598142.5952872839</v>
      </c>
      <c r="AW7" s="212">
        <f>'Revenue Forecasts'!AW6</f>
        <v>4828049.7250516489</v>
      </c>
      <c r="AX7" s="212">
        <f>'Revenue Forecasts'!AX6</f>
        <v>5069452.2113042306</v>
      </c>
      <c r="AY7" s="212">
        <f>'Revenue Forecasts'!AY6</f>
        <v>5322924.8218694422</v>
      </c>
      <c r="AZ7" s="212">
        <f>'Revenue Forecasts'!AZ6</f>
        <v>5589071.0629629157</v>
      </c>
      <c r="BA7" s="212">
        <f>'Revenue Forecasts'!BA6</f>
        <v>5868524.6161110615</v>
      </c>
      <c r="BB7" s="212">
        <f>'Revenue Forecasts'!BB6</f>
        <v>6161950.846916615</v>
      </c>
      <c r="BC7" s="212">
        <f>'Revenue Forecasts'!BC6</f>
        <v>6470048.3892624462</v>
      </c>
      <c r="BD7" s="212">
        <f>'Revenue Forecasts'!BD6</f>
        <v>6793550.8087255685</v>
      </c>
      <c r="BE7" s="212">
        <f>'Revenue Forecasts'!BE6</f>
        <v>7133228.3491618475</v>
      </c>
      <c r="BF7" s="212">
        <f>'Revenue Forecasts'!BF6</f>
        <v>7489889.7666199394</v>
      </c>
      <c r="BG7" s="212">
        <f>'Revenue Forecasts'!BG6</f>
        <v>7864384.2549509369</v>
      </c>
      <c r="BH7" s="212">
        <f>'Revenue Forecasts'!BH6</f>
        <v>8257603.4676984847</v>
      </c>
      <c r="BI7" s="212">
        <f>'Revenue Forecasts'!BI6</f>
        <v>8670483.64108341</v>
      </c>
      <c r="BJ7" s="212">
        <f>'Revenue Forecasts'!BJ6</f>
        <v>0</v>
      </c>
    </row>
    <row r="8" spans="1:62">
      <c r="A8" s="211"/>
      <c r="B8" s="212"/>
      <c r="C8" s="212"/>
      <c r="D8" s="212"/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12"/>
      <c r="R8" s="212"/>
      <c r="S8" s="212"/>
      <c r="T8" s="212"/>
      <c r="U8" s="212"/>
      <c r="V8" s="212"/>
      <c r="W8" s="212"/>
      <c r="X8" s="212"/>
      <c r="Y8" s="212"/>
      <c r="Z8" s="212"/>
      <c r="AA8" s="212"/>
      <c r="AB8" s="212"/>
      <c r="AC8" s="212"/>
      <c r="AD8" s="212"/>
      <c r="AE8" s="212"/>
      <c r="AF8" s="212"/>
      <c r="AG8" s="212"/>
      <c r="AH8" s="212"/>
      <c r="AI8" s="212"/>
      <c r="AJ8" s="212"/>
      <c r="AK8" s="212"/>
      <c r="AL8" s="212"/>
      <c r="AM8" s="212"/>
      <c r="AN8" s="212"/>
      <c r="AO8" s="212"/>
      <c r="AP8" s="212"/>
      <c r="AQ8" s="212"/>
      <c r="AR8" s="212"/>
      <c r="AS8" s="212"/>
      <c r="AT8" s="212"/>
      <c r="AU8" s="212"/>
      <c r="AV8" s="212"/>
      <c r="AW8" s="212"/>
      <c r="AX8" s="212"/>
      <c r="AY8" s="212"/>
      <c r="AZ8" s="212"/>
      <c r="BA8" s="212"/>
      <c r="BB8" s="212"/>
      <c r="BC8" s="212"/>
      <c r="BD8" s="212"/>
      <c r="BE8" s="212"/>
      <c r="BF8" s="212"/>
      <c r="BG8" s="212"/>
      <c r="BH8" s="212"/>
      <c r="BI8" s="212"/>
    </row>
    <row r="9" spans="1:62">
      <c r="A9" s="211" t="s">
        <v>100</v>
      </c>
      <c r="B9" s="212">
        <f>B7*$B$2</f>
        <v>210000</v>
      </c>
      <c r="C9" s="212">
        <f t="shared" ref="C9:BI9" si="0">C7*$B$2</f>
        <v>216300.00000000006</v>
      </c>
      <c r="D9" s="212">
        <f t="shared" si="0"/>
        <v>222789</v>
      </c>
      <c r="E9" s="212">
        <f t="shared" si="0"/>
        <v>229472.67000000004</v>
      </c>
      <c r="F9" s="212">
        <f t="shared" si="0"/>
        <v>236356.85010000004</v>
      </c>
      <c r="G9" s="212">
        <f t="shared" si="0"/>
        <v>243447.55560300002</v>
      </c>
      <c r="H9" s="212">
        <f t="shared" si="0"/>
        <v>250750.98227109006</v>
      </c>
      <c r="I9" s="212">
        <f t="shared" si="0"/>
        <v>258273.51173922277</v>
      </c>
      <c r="J9" s="212">
        <f t="shared" si="0"/>
        <v>266021.71709139942</v>
      </c>
      <c r="K9" s="212">
        <f t="shared" si="0"/>
        <v>274002.36860414146</v>
      </c>
      <c r="L9" s="212">
        <f t="shared" si="0"/>
        <v>282222.43966226571</v>
      </c>
      <c r="M9" s="212">
        <f t="shared" si="0"/>
        <v>290689.11285213364</v>
      </c>
      <c r="N9" s="212">
        <f t="shared" si="0"/>
        <v>419758.02413734701</v>
      </c>
      <c r="O9" s="212">
        <f t="shared" si="0"/>
        <v>461733.82655108185</v>
      </c>
      <c r="P9" s="212">
        <f t="shared" si="0"/>
        <v>507907.20920618996</v>
      </c>
      <c r="Q9" s="212">
        <f t="shared" si="0"/>
        <v>558697.93012680893</v>
      </c>
      <c r="R9" s="212">
        <f t="shared" si="0"/>
        <v>614567.72313948988</v>
      </c>
      <c r="S9" s="212">
        <f t="shared" si="0"/>
        <v>676024.49545343907</v>
      </c>
      <c r="T9" s="212">
        <f t="shared" si="0"/>
        <v>743626.94499878294</v>
      </c>
      <c r="U9" s="212">
        <f t="shared" si="0"/>
        <v>817989.63949866127</v>
      </c>
      <c r="V9" s="212">
        <f t="shared" si="0"/>
        <v>899788.60344852752</v>
      </c>
      <c r="W9" s="212">
        <f t="shared" si="0"/>
        <v>989767.46379338019</v>
      </c>
      <c r="X9" s="212">
        <f t="shared" si="0"/>
        <v>1088744.2101727184</v>
      </c>
      <c r="Y9" s="212">
        <f t="shared" si="0"/>
        <v>1197618.6311899903</v>
      </c>
      <c r="Z9" s="212">
        <f t="shared" si="0"/>
        <v>1257499.5627494897</v>
      </c>
      <c r="AA9" s="212">
        <f t="shared" si="0"/>
        <v>1320374.5408869644</v>
      </c>
      <c r="AB9" s="212">
        <f t="shared" si="0"/>
        <v>1386393.2679313126</v>
      </c>
      <c r="AC9" s="212">
        <f t="shared" si="0"/>
        <v>1455712.9313278783</v>
      </c>
      <c r="AD9" s="212">
        <f t="shared" si="0"/>
        <v>1528498.5778942723</v>
      </c>
      <c r="AE9" s="212">
        <f t="shared" si="0"/>
        <v>1604923.5067889858</v>
      </c>
      <c r="AF9" s="212">
        <f t="shared" si="0"/>
        <v>1685169.6821284355</v>
      </c>
      <c r="AG9" s="212">
        <f t="shared" si="0"/>
        <v>1769428.1662348569</v>
      </c>
      <c r="AH9" s="212">
        <f t="shared" si="0"/>
        <v>1857899.5745466002</v>
      </c>
      <c r="AI9" s="212">
        <f t="shared" si="0"/>
        <v>1950794.5532739302</v>
      </c>
      <c r="AJ9" s="212">
        <f t="shared" si="0"/>
        <v>2048334.280937627</v>
      </c>
      <c r="AK9" s="212">
        <f t="shared" si="0"/>
        <v>2150750.9949845085</v>
      </c>
      <c r="AL9" s="212">
        <f t="shared" si="0"/>
        <v>2258288.5447337339</v>
      </c>
      <c r="AM9" s="212">
        <f t="shared" si="0"/>
        <v>2371202.9719704203</v>
      </c>
      <c r="AN9" s="212">
        <f t="shared" si="0"/>
        <v>2489763.1205689418</v>
      </c>
      <c r="AO9" s="212">
        <f t="shared" si="0"/>
        <v>2614251.2765973886</v>
      </c>
      <c r="AP9" s="212">
        <f t="shared" si="0"/>
        <v>2744963.8404272585</v>
      </c>
      <c r="AQ9" s="212">
        <f t="shared" si="0"/>
        <v>2882212.0324486215</v>
      </c>
      <c r="AR9" s="212">
        <f t="shared" si="0"/>
        <v>3026322.6340710525</v>
      </c>
      <c r="AS9" s="212">
        <f t="shared" si="0"/>
        <v>3177638.7657746058</v>
      </c>
      <c r="AT9" s="212">
        <f t="shared" si="0"/>
        <v>3336520.7040633354</v>
      </c>
      <c r="AU9" s="212">
        <f t="shared" si="0"/>
        <v>3503346.7392665031</v>
      </c>
      <c r="AV9" s="212">
        <f t="shared" si="0"/>
        <v>3678514.0762298275</v>
      </c>
      <c r="AW9" s="212">
        <f t="shared" si="0"/>
        <v>3862439.7800413193</v>
      </c>
      <c r="AX9" s="212">
        <f t="shared" si="0"/>
        <v>4055561.7690433846</v>
      </c>
      <c r="AY9" s="212">
        <f t="shared" si="0"/>
        <v>4258339.8574955538</v>
      </c>
      <c r="AZ9" s="212">
        <f t="shared" si="0"/>
        <v>4471256.8503703326</v>
      </c>
      <c r="BA9" s="212">
        <f t="shared" si="0"/>
        <v>4694819.6928888494</v>
      </c>
      <c r="BB9" s="212">
        <f t="shared" si="0"/>
        <v>4929560.6775332922</v>
      </c>
      <c r="BC9" s="212">
        <f t="shared" si="0"/>
        <v>5176038.7114099571</v>
      </c>
      <c r="BD9" s="212">
        <f t="shared" si="0"/>
        <v>5434840.6469804551</v>
      </c>
      <c r="BE9" s="212">
        <f t="shared" si="0"/>
        <v>5706582.6793294782</v>
      </c>
      <c r="BF9" s="212">
        <f t="shared" si="0"/>
        <v>5991911.813295952</v>
      </c>
      <c r="BG9" s="212">
        <f t="shared" si="0"/>
        <v>6291507.4039607495</v>
      </c>
      <c r="BH9" s="212">
        <f t="shared" si="0"/>
        <v>6606082.7741587879</v>
      </c>
      <c r="BI9" s="212">
        <f t="shared" si="0"/>
        <v>6936386.9128667284</v>
      </c>
    </row>
    <row r="10" spans="1:62">
      <c r="A10" s="211"/>
      <c r="B10" s="212"/>
      <c r="C10" s="212"/>
      <c r="D10" s="212"/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212"/>
      <c r="U10" s="212"/>
      <c r="V10" s="212"/>
      <c r="W10" s="212"/>
      <c r="X10" s="212"/>
      <c r="Y10" s="212"/>
      <c r="Z10" s="212"/>
      <c r="AA10" s="212"/>
      <c r="AB10" s="212"/>
      <c r="AC10" s="212"/>
      <c r="AD10" s="212"/>
      <c r="AE10" s="212"/>
      <c r="AF10" s="212"/>
      <c r="AG10" s="212"/>
      <c r="AH10" s="212"/>
      <c r="AI10" s="212"/>
      <c r="AJ10" s="212"/>
      <c r="AK10" s="212"/>
      <c r="AL10" s="212"/>
      <c r="AM10" s="212"/>
      <c r="AN10" s="212"/>
      <c r="AO10" s="212"/>
      <c r="AP10" s="212"/>
      <c r="AQ10" s="212"/>
      <c r="AR10" s="212"/>
      <c r="AS10" s="212"/>
      <c r="AT10" s="212"/>
      <c r="AU10" s="212"/>
      <c r="AV10" s="212"/>
      <c r="AW10" s="212"/>
      <c r="AX10" s="212"/>
      <c r="AY10" s="212"/>
      <c r="AZ10" s="212"/>
      <c r="BA10" s="212"/>
      <c r="BB10" s="212"/>
      <c r="BC10" s="212"/>
      <c r="BD10" s="212"/>
      <c r="BE10" s="212"/>
      <c r="BF10" s="212"/>
      <c r="BG10" s="212"/>
      <c r="BH10" s="212"/>
      <c r="BI10" s="212"/>
    </row>
    <row r="11" spans="1:62">
      <c r="A11" s="211" t="s">
        <v>101</v>
      </c>
      <c r="B11" s="212">
        <f>B7*$B$3</f>
        <v>52499.999999999985</v>
      </c>
      <c r="C11" s="212">
        <f t="shared" ref="C11:BI11" si="1">C7*$B$3</f>
        <v>54075</v>
      </c>
      <c r="D11" s="212">
        <f t="shared" si="1"/>
        <v>55697.249999999985</v>
      </c>
      <c r="E11" s="212">
        <f t="shared" si="1"/>
        <v>57368.167499999989</v>
      </c>
      <c r="F11" s="212">
        <f t="shared" si="1"/>
        <v>59089.212524999988</v>
      </c>
      <c r="G11" s="212">
        <f t="shared" si="1"/>
        <v>60861.888900749989</v>
      </c>
      <c r="H11" s="212">
        <f t="shared" si="1"/>
        <v>62687.745567772501</v>
      </c>
      <c r="I11" s="212">
        <f t="shared" si="1"/>
        <v>64568.377934805671</v>
      </c>
      <c r="J11" s="212">
        <f t="shared" si="1"/>
        <v>66505.42927284984</v>
      </c>
      <c r="K11" s="212">
        <f t="shared" si="1"/>
        <v>68500.592151035336</v>
      </c>
      <c r="L11" s="212">
        <f t="shared" si="1"/>
        <v>70555.609915566412</v>
      </c>
      <c r="M11" s="212">
        <f t="shared" si="1"/>
        <v>72672.278213033394</v>
      </c>
      <c r="N11" s="212">
        <f t="shared" si="1"/>
        <v>104939.50603433672</v>
      </c>
      <c r="O11" s="212">
        <f t="shared" si="1"/>
        <v>115433.45663777042</v>
      </c>
      <c r="P11" s="212">
        <f t="shared" si="1"/>
        <v>126976.80230154746</v>
      </c>
      <c r="Q11" s="212">
        <f t="shared" si="1"/>
        <v>139674.4825317022</v>
      </c>
      <c r="R11" s="212">
        <f t="shared" si="1"/>
        <v>153641.93078487244</v>
      </c>
      <c r="S11" s="212">
        <f t="shared" si="1"/>
        <v>169006.12386335971</v>
      </c>
      <c r="T11" s="212">
        <f t="shared" si="1"/>
        <v>185906.73624969568</v>
      </c>
      <c r="U11" s="212">
        <f t="shared" si="1"/>
        <v>204497.40987466526</v>
      </c>
      <c r="V11" s="212">
        <f t="shared" si="1"/>
        <v>224947.15086213182</v>
      </c>
      <c r="W11" s="212">
        <f t="shared" si="1"/>
        <v>247441.86594834499</v>
      </c>
      <c r="X11" s="212">
        <f t="shared" si="1"/>
        <v>272186.05254317954</v>
      </c>
      <c r="Y11" s="212">
        <f t="shared" si="1"/>
        <v>299404.65779749746</v>
      </c>
      <c r="Z11" s="212">
        <f t="shared" si="1"/>
        <v>314374.8906873723</v>
      </c>
      <c r="AA11" s="212">
        <f t="shared" si="1"/>
        <v>330093.63522174099</v>
      </c>
      <c r="AB11" s="212">
        <f t="shared" si="1"/>
        <v>346598.31698282802</v>
      </c>
      <c r="AC11" s="212">
        <f t="shared" si="1"/>
        <v>363928.23283196945</v>
      </c>
      <c r="AD11" s="212">
        <f t="shared" si="1"/>
        <v>382124.64447356795</v>
      </c>
      <c r="AE11" s="212">
        <f t="shared" si="1"/>
        <v>401230.87669724633</v>
      </c>
      <c r="AF11" s="212">
        <f t="shared" si="1"/>
        <v>421292.42053210875</v>
      </c>
      <c r="AG11" s="212">
        <f t="shared" si="1"/>
        <v>442357.04155871412</v>
      </c>
      <c r="AH11" s="212">
        <f t="shared" si="1"/>
        <v>464474.89363664994</v>
      </c>
      <c r="AI11" s="212">
        <f t="shared" si="1"/>
        <v>487698.63831848238</v>
      </c>
      <c r="AJ11" s="212">
        <f t="shared" si="1"/>
        <v>512083.57023440662</v>
      </c>
      <c r="AK11" s="212">
        <f t="shared" si="1"/>
        <v>537687.74874612701</v>
      </c>
      <c r="AL11" s="212">
        <f t="shared" si="1"/>
        <v>564572.13618343335</v>
      </c>
      <c r="AM11" s="212">
        <f t="shared" si="1"/>
        <v>592800.74299260497</v>
      </c>
      <c r="AN11" s="212">
        <f t="shared" si="1"/>
        <v>622440.78014223522</v>
      </c>
      <c r="AO11" s="212">
        <f t="shared" si="1"/>
        <v>653562.81914934702</v>
      </c>
      <c r="AP11" s="212">
        <f t="shared" si="1"/>
        <v>686240.9601068144</v>
      </c>
      <c r="AQ11" s="212">
        <f t="shared" si="1"/>
        <v>720553.00811215525</v>
      </c>
      <c r="AR11" s="212">
        <f t="shared" si="1"/>
        <v>756580.6585177629</v>
      </c>
      <c r="AS11" s="212">
        <f t="shared" si="1"/>
        <v>794409.69144365122</v>
      </c>
      <c r="AT11" s="212">
        <f t="shared" si="1"/>
        <v>834130.17601583363</v>
      </c>
      <c r="AU11" s="212">
        <f t="shared" si="1"/>
        <v>875836.68481662555</v>
      </c>
      <c r="AV11" s="212">
        <f t="shared" si="1"/>
        <v>919628.51905745652</v>
      </c>
      <c r="AW11" s="212">
        <f t="shared" si="1"/>
        <v>965609.9450103296</v>
      </c>
      <c r="AX11" s="212">
        <f t="shared" si="1"/>
        <v>1013890.4422608459</v>
      </c>
      <c r="AY11" s="212">
        <f t="shared" si="1"/>
        <v>1064584.9643738882</v>
      </c>
      <c r="AZ11" s="212">
        <f t="shared" si="1"/>
        <v>1117814.2125925829</v>
      </c>
      <c r="BA11" s="212">
        <f t="shared" si="1"/>
        <v>1173704.9232222121</v>
      </c>
      <c r="BB11" s="212">
        <f t="shared" si="1"/>
        <v>1232390.1693833228</v>
      </c>
      <c r="BC11" s="212">
        <f t="shared" si="1"/>
        <v>1294009.6778524891</v>
      </c>
      <c r="BD11" s="212">
        <f t="shared" si="1"/>
        <v>1358710.1617451133</v>
      </c>
      <c r="BE11" s="212">
        <f t="shared" si="1"/>
        <v>1426645.6698323691</v>
      </c>
      <c r="BF11" s="212">
        <f t="shared" si="1"/>
        <v>1497977.9533239875</v>
      </c>
      <c r="BG11" s="212">
        <f t="shared" si="1"/>
        <v>1572876.8509901869</v>
      </c>
      <c r="BH11" s="212">
        <f t="shared" si="1"/>
        <v>1651520.6935396965</v>
      </c>
      <c r="BI11" s="212">
        <f t="shared" si="1"/>
        <v>1734096.7282166816</v>
      </c>
    </row>
    <row r="12" spans="1:62">
      <c r="A12" s="211"/>
      <c r="B12" s="212"/>
      <c r="C12" s="212"/>
      <c r="D12" s="212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212"/>
      <c r="T12" s="212"/>
      <c r="U12" s="212"/>
      <c r="V12" s="212"/>
      <c r="W12" s="212"/>
      <c r="X12" s="212"/>
      <c r="Y12" s="212"/>
      <c r="Z12" s="212"/>
      <c r="AA12" s="212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</row>
    <row r="13" spans="1:62">
      <c r="A13" s="211" t="s">
        <v>102</v>
      </c>
      <c r="B13" s="212">
        <f>B9</f>
        <v>210000</v>
      </c>
      <c r="C13" s="212">
        <f t="shared" ref="C13" si="2">C9</f>
        <v>216300.00000000006</v>
      </c>
      <c r="D13" s="212">
        <f>D9+B11</f>
        <v>275289</v>
      </c>
      <c r="E13" s="212">
        <f t="shared" ref="E13:BI13" si="3">E9+C11</f>
        <v>283547.67000000004</v>
      </c>
      <c r="F13" s="212">
        <f t="shared" si="3"/>
        <v>292054.10010000004</v>
      </c>
      <c r="G13" s="212">
        <f t="shared" si="3"/>
        <v>300815.72310300003</v>
      </c>
      <c r="H13" s="212">
        <f t="shared" si="3"/>
        <v>309840.19479609007</v>
      </c>
      <c r="I13" s="212">
        <f t="shared" si="3"/>
        <v>319135.40063997277</v>
      </c>
      <c r="J13" s="212">
        <f t="shared" si="3"/>
        <v>328709.4626591719</v>
      </c>
      <c r="K13" s="212">
        <f t="shared" si="3"/>
        <v>338570.7465389471</v>
      </c>
      <c r="L13" s="212">
        <f t="shared" si="3"/>
        <v>348727.86893511552</v>
      </c>
      <c r="M13" s="212">
        <f t="shared" si="3"/>
        <v>359189.70500316896</v>
      </c>
      <c r="N13" s="212">
        <f t="shared" si="3"/>
        <v>490313.6340529134</v>
      </c>
      <c r="O13" s="212">
        <f t="shared" si="3"/>
        <v>534406.1047641153</v>
      </c>
      <c r="P13" s="212">
        <f t="shared" si="3"/>
        <v>612846.71524052671</v>
      </c>
      <c r="Q13" s="212">
        <f t="shared" si="3"/>
        <v>674131.38676457934</v>
      </c>
      <c r="R13" s="212">
        <f t="shared" si="3"/>
        <v>741544.52544103737</v>
      </c>
      <c r="S13" s="212">
        <f t="shared" si="3"/>
        <v>815698.97798514133</v>
      </c>
      <c r="T13" s="212">
        <f t="shared" si="3"/>
        <v>897268.87578365533</v>
      </c>
      <c r="U13" s="212">
        <f t="shared" si="3"/>
        <v>986995.76336202095</v>
      </c>
      <c r="V13" s="212">
        <f t="shared" si="3"/>
        <v>1085695.3396982232</v>
      </c>
      <c r="W13" s="212">
        <f t="shared" si="3"/>
        <v>1194264.8736680455</v>
      </c>
      <c r="X13" s="212">
        <f t="shared" si="3"/>
        <v>1313691.3610348501</v>
      </c>
      <c r="Y13" s="212">
        <f t="shared" si="3"/>
        <v>1445060.4971383354</v>
      </c>
      <c r="Z13" s="212">
        <f t="shared" si="3"/>
        <v>1529685.6152926693</v>
      </c>
      <c r="AA13" s="212">
        <f t="shared" si="3"/>
        <v>1619779.1986844619</v>
      </c>
      <c r="AB13" s="212">
        <f t="shared" si="3"/>
        <v>1700768.1586186849</v>
      </c>
      <c r="AC13" s="212">
        <f t="shared" si="3"/>
        <v>1785806.5665496192</v>
      </c>
      <c r="AD13" s="212">
        <f t="shared" si="3"/>
        <v>1875096.8948771004</v>
      </c>
      <c r="AE13" s="212">
        <f t="shared" si="3"/>
        <v>1968851.7396209552</v>
      </c>
      <c r="AF13" s="212">
        <f t="shared" si="3"/>
        <v>2067294.3266020035</v>
      </c>
      <c r="AG13" s="212">
        <f t="shared" si="3"/>
        <v>2170659.0429321034</v>
      </c>
      <c r="AH13" s="212">
        <f t="shared" si="3"/>
        <v>2279191.995078709</v>
      </c>
      <c r="AI13" s="212">
        <f t="shared" si="3"/>
        <v>2393151.5948326443</v>
      </c>
      <c r="AJ13" s="212">
        <f t="shared" si="3"/>
        <v>2512809.1745742769</v>
      </c>
      <c r="AK13" s="212">
        <f t="shared" si="3"/>
        <v>2638449.6333029908</v>
      </c>
      <c r="AL13" s="212">
        <f t="shared" si="3"/>
        <v>2770372.1149681406</v>
      </c>
      <c r="AM13" s="212">
        <f t="shared" si="3"/>
        <v>2908890.7207165472</v>
      </c>
      <c r="AN13" s="212">
        <f t="shared" si="3"/>
        <v>3054335.256752375</v>
      </c>
      <c r="AO13" s="212">
        <f t="shared" si="3"/>
        <v>3207052.0195899936</v>
      </c>
      <c r="AP13" s="212">
        <f t="shared" si="3"/>
        <v>3367404.6205694936</v>
      </c>
      <c r="AQ13" s="212">
        <f t="shared" si="3"/>
        <v>3535774.8515979685</v>
      </c>
      <c r="AR13" s="212">
        <f t="shared" si="3"/>
        <v>3712563.5941778668</v>
      </c>
      <c r="AS13" s="212">
        <f t="shared" si="3"/>
        <v>3898191.7738867612</v>
      </c>
      <c r="AT13" s="212">
        <f t="shared" si="3"/>
        <v>4093101.3625810985</v>
      </c>
      <c r="AU13" s="212">
        <f t="shared" si="3"/>
        <v>4297756.4307101546</v>
      </c>
      <c r="AV13" s="212">
        <f t="shared" si="3"/>
        <v>4512644.2522456609</v>
      </c>
      <c r="AW13" s="212">
        <f t="shared" si="3"/>
        <v>4738276.4648579452</v>
      </c>
      <c r="AX13" s="212">
        <f t="shared" si="3"/>
        <v>4975190.2881008415</v>
      </c>
      <c r="AY13" s="212">
        <f t="shared" si="3"/>
        <v>5223949.8025058834</v>
      </c>
      <c r="AZ13" s="212">
        <f t="shared" si="3"/>
        <v>5485147.2926311782</v>
      </c>
      <c r="BA13" s="212">
        <f t="shared" si="3"/>
        <v>5759404.6572627379</v>
      </c>
      <c r="BB13" s="212">
        <f t="shared" si="3"/>
        <v>6047374.8901258754</v>
      </c>
      <c r="BC13" s="212">
        <f t="shared" si="3"/>
        <v>6349743.6346321693</v>
      </c>
      <c r="BD13" s="212">
        <f t="shared" si="3"/>
        <v>6667230.816363778</v>
      </c>
      <c r="BE13" s="212">
        <f t="shared" si="3"/>
        <v>7000592.3571819672</v>
      </c>
      <c r="BF13" s="212">
        <f t="shared" si="3"/>
        <v>7350621.9750410654</v>
      </c>
      <c r="BG13" s="212">
        <f t="shared" si="3"/>
        <v>7718153.0737931188</v>
      </c>
      <c r="BH13" s="212">
        <f t="shared" si="3"/>
        <v>8104060.7274827752</v>
      </c>
      <c r="BI13" s="212">
        <f t="shared" si="3"/>
        <v>8509263.7638569158</v>
      </c>
    </row>
    <row r="14" spans="1:62">
      <c r="A14" s="213"/>
      <c r="B14" s="212"/>
      <c r="C14" s="212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</row>
    <row r="15" spans="1:62">
      <c r="A15" s="214" t="s">
        <v>103</v>
      </c>
      <c r="B15" s="215">
        <f>B11</f>
        <v>52499.999999999985</v>
      </c>
      <c r="C15" s="215">
        <f>B15+C11</f>
        <v>106574.99999999999</v>
      </c>
      <c r="D15" s="215">
        <f>C15+D11-B11</f>
        <v>109772.24999999999</v>
      </c>
      <c r="E15" s="215">
        <f t="shared" ref="E15:BI15" si="4">D15+E11-C11</f>
        <v>113065.41749999998</v>
      </c>
      <c r="F15" s="215">
        <f t="shared" si="4"/>
        <v>116457.38002499998</v>
      </c>
      <c r="G15" s="215">
        <f t="shared" si="4"/>
        <v>119951.10142574998</v>
      </c>
      <c r="H15" s="215">
        <f t="shared" si="4"/>
        <v>123549.6344685225</v>
      </c>
      <c r="I15" s="215">
        <f t="shared" si="4"/>
        <v>127256.12350257818</v>
      </c>
      <c r="J15" s="215">
        <f t="shared" si="4"/>
        <v>131073.80720765551</v>
      </c>
      <c r="K15" s="215">
        <f t="shared" si="4"/>
        <v>135006.02142388516</v>
      </c>
      <c r="L15" s="215">
        <f t="shared" si="4"/>
        <v>139056.20206660175</v>
      </c>
      <c r="M15" s="215">
        <f t="shared" si="4"/>
        <v>143227.88812859979</v>
      </c>
      <c r="N15" s="215">
        <f t="shared" si="4"/>
        <v>177611.78424737009</v>
      </c>
      <c r="O15" s="215">
        <f t="shared" si="4"/>
        <v>220372.9626721071</v>
      </c>
      <c r="P15" s="215">
        <f t="shared" si="4"/>
        <v>242410.25893931781</v>
      </c>
      <c r="Q15" s="215">
        <f t="shared" si="4"/>
        <v>266651.28483324964</v>
      </c>
      <c r="R15" s="215">
        <f t="shared" si="4"/>
        <v>293316.41331657465</v>
      </c>
      <c r="S15" s="215">
        <f t="shared" si="4"/>
        <v>322648.05464823212</v>
      </c>
      <c r="T15" s="215">
        <f t="shared" si="4"/>
        <v>354912.86011305539</v>
      </c>
      <c r="U15" s="215">
        <f t="shared" si="4"/>
        <v>390404.14612436097</v>
      </c>
      <c r="V15" s="215">
        <f t="shared" si="4"/>
        <v>429444.56073679717</v>
      </c>
      <c r="W15" s="215">
        <f t="shared" si="4"/>
        <v>472389.01681047684</v>
      </c>
      <c r="X15" s="215">
        <f t="shared" si="4"/>
        <v>519627.91849152453</v>
      </c>
      <c r="Y15" s="215">
        <f t="shared" si="4"/>
        <v>571590.71034067706</v>
      </c>
      <c r="Z15" s="215">
        <f t="shared" si="4"/>
        <v>613779.54848486977</v>
      </c>
      <c r="AA15" s="215">
        <f t="shared" si="4"/>
        <v>644468.52590911323</v>
      </c>
      <c r="AB15" s="215">
        <f t="shared" si="4"/>
        <v>676691.95220456901</v>
      </c>
      <c r="AC15" s="215">
        <f t="shared" si="4"/>
        <v>710526.54981479747</v>
      </c>
      <c r="AD15" s="215">
        <f t="shared" si="4"/>
        <v>746052.87730553746</v>
      </c>
      <c r="AE15" s="215">
        <f t="shared" si="4"/>
        <v>783355.52117081452</v>
      </c>
      <c r="AF15" s="215">
        <f t="shared" si="4"/>
        <v>822523.29722935532</v>
      </c>
      <c r="AG15" s="215">
        <f t="shared" si="4"/>
        <v>863649.46209082298</v>
      </c>
      <c r="AH15" s="215">
        <f t="shared" si="4"/>
        <v>906831.93519536406</v>
      </c>
      <c r="AI15" s="215">
        <f t="shared" si="4"/>
        <v>952173.53195513226</v>
      </c>
      <c r="AJ15" s="215">
        <f t="shared" si="4"/>
        <v>999782.20855288906</v>
      </c>
      <c r="AK15" s="215">
        <f t="shared" si="4"/>
        <v>1049771.3189805336</v>
      </c>
      <c r="AL15" s="215">
        <f t="shared" si="4"/>
        <v>1102259.8849295601</v>
      </c>
      <c r="AM15" s="215">
        <f t="shared" si="4"/>
        <v>1157372.8791760383</v>
      </c>
      <c r="AN15" s="215">
        <f t="shared" si="4"/>
        <v>1215241.5231348402</v>
      </c>
      <c r="AO15" s="215">
        <f t="shared" si="4"/>
        <v>1276003.5992915821</v>
      </c>
      <c r="AP15" s="215">
        <f t="shared" si="4"/>
        <v>1339803.7792561613</v>
      </c>
      <c r="AQ15" s="215">
        <f t="shared" si="4"/>
        <v>1406793.9682189696</v>
      </c>
      <c r="AR15" s="215">
        <f t="shared" si="4"/>
        <v>1477133.6666299184</v>
      </c>
      <c r="AS15" s="215">
        <f t="shared" si="4"/>
        <v>1550990.3499614145</v>
      </c>
      <c r="AT15" s="215">
        <f t="shared" si="4"/>
        <v>1628539.8674594853</v>
      </c>
      <c r="AU15" s="215">
        <f t="shared" si="4"/>
        <v>1709966.8608324595</v>
      </c>
      <c r="AV15" s="215">
        <f t="shared" si="4"/>
        <v>1795465.2038740825</v>
      </c>
      <c r="AW15" s="215">
        <f t="shared" si="4"/>
        <v>1885238.4640677865</v>
      </c>
      <c r="AX15" s="215">
        <f t="shared" si="4"/>
        <v>1979500.3872711761</v>
      </c>
      <c r="AY15" s="215">
        <f t="shared" si="4"/>
        <v>2078475.4066347349</v>
      </c>
      <c r="AZ15" s="215">
        <f t="shared" si="4"/>
        <v>2182399.1769664721</v>
      </c>
      <c r="BA15" s="215">
        <f t="shared" si="4"/>
        <v>2291519.1358147962</v>
      </c>
      <c r="BB15" s="215">
        <f t="shared" si="4"/>
        <v>2406095.0926055359</v>
      </c>
      <c r="BC15" s="215">
        <f t="shared" si="4"/>
        <v>2526399.8472358128</v>
      </c>
      <c r="BD15" s="215">
        <f t="shared" si="4"/>
        <v>2652719.8395976033</v>
      </c>
      <c r="BE15" s="215">
        <f t="shared" si="4"/>
        <v>2785355.8315774836</v>
      </c>
      <c r="BF15" s="215">
        <f t="shared" si="4"/>
        <v>2924623.6231563576</v>
      </c>
      <c r="BG15" s="215">
        <f t="shared" si="4"/>
        <v>3070854.8043141756</v>
      </c>
      <c r="BH15" s="215">
        <f t="shared" si="4"/>
        <v>3224397.5445298851</v>
      </c>
      <c r="BI15" s="215">
        <f t="shared" si="4"/>
        <v>3385617.4217563798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5"/>
  <dimension ref="B2:BJ61"/>
  <sheetViews>
    <sheetView showGridLines="0" zoomScale="85" zoomScaleNormal="85" workbookViewId="0">
      <selection activeCell="B2" sqref="B2"/>
    </sheetView>
  </sheetViews>
  <sheetFormatPr defaultColWidth="9" defaultRowHeight="14.4"/>
  <cols>
    <col min="1" max="1" width="3.33203125" customWidth="1"/>
    <col min="2" max="2" width="47" customWidth="1"/>
    <col min="3" max="3" width="12.44140625" customWidth="1"/>
    <col min="4" max="4" width="14" customWidth="1"/>
    <col min="5" max="64" width="13.5546875" customWidth="1"/>
  </cols>
  <sheetData>
    <row r="2" spans="2:62" ht="17.399999999999999">
      <c r="B2" s="102" t="s">
        <v>105</v>
      </c>
      <c r="C2" s="171" t="s">
        <v>15</v>
      </c>
      <c r="D2" s="171" t="s">
        <v>41</v>
      </c>
      <c r="E2" s="171" t="s">
        <v>42</v>
      </c>
      <c r="F2" s="171" t="s">
        <v>43</v>
      </c>
      <c r="G2" s="171" t="s">
        <v>44</v>
      </c>
      <c r="H2" s="171" t="s">
        <v>45</v>
      </c>
      <c r="I2" s="171" t="s">
        <v>46</v>
      </c>
      <c r="J2" s="171" t="s">
        <v>47</v>
      </c>
      <c r="K2" s="171" t="s">
        <v>48</v>
      </c>
      <c r="L2" s="171" t="s">
        <v>49</v>
      </c>
      <c r="M2" s="171" t="s">
        <v>50</v>
      </c>
      <c r="N2" s="171" t="s">
        <v>51</v>
      </c>
      <c r="O2" s="171" t="s">
        <v>20</v>
      </c>
      <c r="P2" s="171" t="s">
        <v>52</v>
      </c>
      <c r="Q2" s="171" t="s">
        <v>53</v>
      </c>
      <c r="R2" s="171" t="s">
        <v>54</v>
      </c>
      <c r="S2" s="171" t="s">
        <v>55</v>
      </c>
      <c r="T2" s="171" t="s">
        <v>56</v>
      </c>
      <c r="U2" s="171" t="s">
        <v>57</v>
      </c>
      <c r="V2" s="171" t="s">
        <v>58</v>
      </c>
      <c r="W2" s="171" t="s">
        <v>59</v>
      </c>
      <c r="X2" s="171" t="s">
        <v>60</v>
      </c>
      <c r="Y2" s="171" t="s">
        <v>61</v>
      </c>
      <c r="Z2" s="171" t="s">
        <v>62</v>
      </c>
      <c r="AA2" s="171" t="s">
        <v>63</v>
      </c>
      <c r="AB2" s="171" t="s">
        <v>64</v>
      </c>
      <c r="AC2" s="171" t="s">
        <v>65</v>
      </c>
      <c r="AD2" s="171" t="s">
        <v>66</v>
      </c>
      <c r="AE2" s="171" t="s">
        <v>67</v>
      </c>
      <c r="AF2" s="171" t="s">
        <v>68</v>
      </c>
      <c r="AG2" s="171" t="s">
        <v>69</v>
      </c>
      <c r="AH2" s="171" t="s">
        <v>70</v>
      </c>
      <c r="AI2" s="171" t="s">
        <v>71</v>
      </c>
      <c r="AJ2" s="171" t="s">
        <v>72</v>
      </c>
      <c r="AK2" s="171" t="s">
        <v>73</v>
      </c>
      <c r="AL2" s="171" t="s">
        <v>74</v>
      </c>
      <c r="AM2" s="171" t="s">
        <v>75</v>
      </c>
      <c r="AN2" s="171" t="s">
        <v>76</v>
      </c>
      <c r="AO2" s="171" t="s">
        <v>77</v>
      </c>
      <c r="AP2" s="171" t="s">
        <v>78</v>
      </c>
      <c r="AQ2" s="171" t="s">
        <v>79</v>
      </c>
      <c r="AR2" s="171" t="s">
        <v>80</v>
      </c>
      <c r="AS2" s="171" t="s">
        <v>81</v>
      </c>
      <c r="AT2" s="171" t="s">
        <v>82</v>
      </c>
      <c r="AU2" s="171" t="s">
        <v>83</v>
      </c>
      <c r="AV2" s="171" t="s">
        <v>84</v>
      </c>
      <c r="AW2" s="171" t="s">
        <v>85</v>
      </c>
      <c r="AX2" s="171" t="s">
        <v>86</v>
      </c>
      <c r="AY2" s="171" t="s">
        <v>87</v>
      </c>
      <c r="AZ2" s="171" t="s">
        <v>88</v>
      </c>
      <c r="BA2" s="171" t="s">
        <v>89</v>
      </c>
      <c r="BB2" s="171" t="s">
        <v>90</v>
      </c>
      <c r="BC2" s="171" t="s">
        <v>91</v>
      </c>
      <c r="BD2" s="171" t="s">
        <v>92</v>
      </c>
      <c r="BE2" s="171" t="s">
        <v>93</v>
      </c>
      <c r="BF2" s="171" t="s">
        <v>94</v>
      </c>
      <c r="BG2" s="171" t="s">
        <v>95</v>
      </c>
      <c r="BH2" s="171" t="s">
        <v>96</v>
      </c>
      <c r="BI2" s="171" t="s">
        <v>97</v>
      </c>
      <c r="BJ2" s="171" t="s">
        <v>98</v>
      </c>
    </row>
    <row r="3" spans="2:62" ht="15.6">
      <c r="B3" s="210" t="str">
        <f>Assumptions!A28</f>
        <v>Metal Fabrication Shop Acquisition</v>
      </c>
      <c r="C3" s="201">
        <f>Assumptions!B20</f>
        <v>2000000</v>
      </c>
      <c r="D3" s="201">
        <f>C3</f>
        <v>2000000</v>
      </c>
      <c r="E3" s="201">
        <f t="shared" ref="E3:BJ3" si="0">D3</f>
        <v>2000000</v>
      </c>
      <c r="F3" s="201">
        <f t="shared" si="0"/>
        <v>2000000</v>
      </c>
      <c r="G3" s="201">
        <f t="shared" si="0"/>
        <v>2000000</v>
      </c>
      <c r="H3" s="201">
        <f t="shared" si="0"/>
        <v>2000000</v>
      </c>
      <c r="I3" s="201">
        <f t="shared" si="0"/>
        <v>2000000</v>
      </c>
      <c r="J3" s="201">
        <f t="shared" si="0"/>
        <v>2000000</v>
      </c>
      <c r="K3" s="201">
        <f t="shared" si="0"/>
        <v>2000000</v>
      </c>
      <c r="L3" s="201">
        <f t="shared" si="0"/>
        <v>2000000</v>
      </c>
      <c r="M3" s="201">
        <f t="shared" si="0"/>
        <v>2000000</v>
      </c>
      <c r="N3" s="201">
        <f t="shared" si="0"/>
        <v>2000000</v>
      </c>
      <c r="O3" s="201">
        <f t="shared" si="0"/>
        <v>2000000</v>
      </c>
      <c r="P3" s="201">
        <f t="shared" si="0"/>
        <v>2000000</v>
      </c>
      <c r="Q3" s="201">
        <f t="shared" si="0"/>
        <v>2000000</v>
      </c>
      <c r="R3" s="201">
        <f t="shared" si="0"/>
        <v>2000000</v>
      </c>
      <c r="S3" s="201">
        <f t="shared" si="0"/>
        <v>2000000</v>
      </c>
      <c r="T3" s="201">
        <f t="shared" si="0"/>
        <v>2000000</v>
      </c>
      <c r="U3" s="201">
        <f t="shared" si="0"/>
        <v>2000000</v>
      </c>
      <c r="V3" s="201">
        <f t="shared" si="0"/>
        <v>2000000</v>
      </c>
      <c r="W3" s="201">
        <f t="shared" si="0"/>
        <v>2000000</v>
      </c>
      <c r="X3" s="201">
        <f t="shared" si="0"/>
        <v>2000000</v>
      </c>
      <c r="Y3" s="201">
        <f t="shared" si="0"/>
        <v>2000000</v>
      </c>
      <c r="Z3" s="201">
        <f t="shared" si="0"/>
        <v>2000000</v>
      </c>
      <c r="AA3" s="201">
        <f t="shared" si="0"/>
        <v>2000000</v>
      </c>
      <c r="AB3" s="201">
        <f t="shared" si="0"/>
        <v>2000000</v>
      </c>
      <c r="AC3" s="201">
        <f t="shared" si="0"/>
        <v>2000000</v>
      </c>
      <c r="AD3" s="201">
        <f t="shared" si="0"/>
        <v>2000000</v>
      </c>
      <c r="AE3" s="201">
        <f t="shared" si="0"/>
        <v>2000000</v>
      </c>
      <c r="AF3" s="201">
        <f t="shared" si="0"/>
        <v>2000000</v>
      </c>
      <c r="AG3" s="201">
        <f t="shared" si="0"/>
        <v>2000000</v>
      </c>
      <c r="AH3" s="201">
        <f t="shared" si="0"/>
        <v>2000000</v>
      </c>
      <c r="AI3" s="201">
        <f t="shared" si="0"/>
        <v>2000000</v>
      </c>
      <c r="AJ3" s="201">
        <f t="shared" si="0"/>
        <v>2000000</v>
      </c>
      <c r="AK3" s="201">
        <f t="shared" si="0"/>
        <v>2000000</v>
      </c>
      <c r="AL3" s="201">
        <f t="shared" si="0"/>
        <v>2000000</v>
      </c>
      <c r="AM3" s="201">
        <f t="shared" si="0"/>
        <v>2000000</v>
      </c>
      <c r="AN3" s="201">
        <f t="shared" si="0"/>
        <v>2000000</v>
      </c>
      <c r="AO3" s="201">
        <f t="shared" si="0"/>
        <v>2000000</v>
      </c>
      <c r="AP3" s="201">
        <f t="shared" si="0"/>
        <v>2000000</v>
      </c>
      <c r="AQ3" s="201">
        <f t="shared" si="0"/>
        <v>2000000</v>
      </c>
      <c r="AR3" s="201">
        <f t="shared" si="0"/>
        <v>2000000</v>
      </c>
      <c r="AS3" s="201">
        <f t="shared" si="0"/>
        <v>2000000</v>
      </c>
      <c r="AT3" s="201">
        <f t="shared" si="0"/>
        <v>2000000</v>
      </c>
      <c r="AU3" s="201">
        <f t="shared" si="0"/>
        <v>2000000</v>
      </c>
      <c r="AV3" s="201">
        <f t="shared" si="0"/>
        <v>2000000</v>
      </c>
      <c r="AW3" s="201">
        <f t="shared" si="0"/>
        <v>2000000</v>
      </c>
      <c r="AX3" s="201">
        <f t="shared" si="0"/>
        <v>2000000</v>
      </c>
      <c r="AY3" s="201">
        <f t="shared" si="0"/>
        <v>2000000</v>
      </c>
      <c r="AZ3" s="201">
        <f t="shared" si="0"/>
        <v>2000000</v>
      </c>
      <c r="BA3" s="201">
        <f t="shared" si="0"/>
        <v>2000000</v>
      </c>
      <c r="BB3" s="201">
        <f t="shared" si="0"/>
        <v>2000000</v>
      </c>
      <c r="BC3" s="201">
        <f t="shared" si="0"/>
        <v>2000000</v>
      </c>
      <c r="BD3" s="201">
        <f t="shared" si="0"/>
        <v>2000000</v>
      </c>
      <c r="BE3" s="201">
        <f t="shared" si="0"/>
        <v>2000000</v>
      </c>
      <c r="BF3" s="201">
        <f t="shared" si="0"/>
        <v>2000000</v>
      </c>
      <c r="BG3" s="201">
        <f t="shared" si="0"/>
        <v>2000000</v>
      </c>
      <c r="BH3" s="201">
        <f t="shared" si="0"/>
        <v>2000000</v>
      </c>
      <c r="BI3" s="201">
        <f t="shared" si="0"/>
        <v>2000000</v>
      </c>
      <c r="BJ3" s="201">
        <f t="shared" si="0"/>
        <v>2000000</v>
      </c>
    </row>
    <row r="4" spans="2:62" ht="15.6">
      <c r="B4" s="210" t="str">
        <f>Assumptions!A29</f>
        <v>R&amp;D Surveillance System</v>
      </c>
      <c r="C4" s="201">
        <f>Assumptions!B21</f>
        <v>1500000</v>
      </c>
      <c r="D4" s="201">
        <f>C4</f>
        <v>1500000</v>
      </c>
      <c r="E4" s="201">
        <f t="shared" ref="E4:BJ4" si="1">D4</f>
        <v>1500000</v>
      </c>
      <c r="F4" s="201">
        <f t="shared" si="1"/>
        <v>1500000</v>
      </c>
      <c r="G4" s="201">
        <f t="shared" si="1"/>
        <v>1500000</v>
      </c>
      <c r="H4" s="201">
        <f t="shared" si="1"/>
        <v>1500000</v>
      </c>
      <c r="I4" s="201">
        <f t="shared" si="1"/>
        <v>1500000</v>
      </c>
      <c r="J4" s="201">
        <f t="shared" si="1"/>
        <v>1500000</v>
      </c>
      <c r="K4" s="201">
        <f t="shared" si="1"/>
        <v>1500000</v>
      </c>
      <c r="L4" s="201">
        <f t="shared" si="1"/>
        <v>1500000</v>
      </c>
      <c r="M4" s="201">
        <f t="shared" si="1"/>
        <v>1500000</v>
      </c>
      <c r="N4" s="201">
        <f t="shared" si="1"/>
        <v>1500000</v>
      </c>
      <c r="O4" s="201">
        <f t="shared" si="1"/>
        <v>1500000</v>
      </c>
      <c r="P4" s="201">
        <f t="shared" si="1"/>
        <v>1500000</v>
      </c>
      <c r="Q4" s="201">
        <f t="shared" si="1"/>
        <v>1500000</v>
      </c>
      <c r="R4" s="201">
        <f t="shared" si="1"/>
        <v>1500000</v>
      </c>
      <c r="S4" s="201">
        <f t="shared" si="1"/>
        <v>1500000</v>
      </c>
      <c r="T4" s="201">
        <f t="shared" si="1"/>
        <v>1500000</v>
      </c>
      <c r="U4" s="201">
        <f t="shared" si="1"/>
        <v>1500000</v>
      </c>
      <c r="V4" s="201">
        <f t="shared" si="1"/>
        <v>1500000</v>
      </c>
      <c r="W4" s="201">
        <f t="shared" si="1"/>
        <v>1500000</v>
      </c>
      <c r="X4" s="201">
        <f t="shared" si="1"/>
        <v>1500000</v>
      </c>
      <c r="Y4" s="201">
        <f t="shared" si="1"/>
        <v>1500000</v>
      </c>
      <c r="Z4" s="201">
        <f t="shared" si="1"/>
        <v>1500000</v>
      </c>
      <c r="AA4" s="201">
        <f t="shared" si="1"/>
        <v>1500000</v>
      </c>
      <c r="AB4" s="201">
        <f t="shared" si="1"/>
        <v>1500000</v>
      </c>
      <c r="AC4" s="201">
        <f t="shared" si="1"/>
        <v>1500000</v>
      </c>
      <c r="AD4" s="201">
        <f t="shared" si="1"/>
        <v>1500000</v>
      </c>
      <c r="AE4" s="201">
        <f t="shared" si="1"/>
        <v>1500000</v>
      </c>
      <c r="AF4" s="201">
        <f t="shared" si="1"/>
        <v>1500000</v>
      </c>
      <c r="AG4" s="201">
        <f t="shared" si="1"/>
        <v>1500000</v>
      </c>
      <c r="AH4" s="201">
        <f t="shared" si="1"/>
        <v>1500000</v>
      </c>
      <c r="AI4" s="201">
        <f t="shared" si="1"/>
        <v>1500000</v>
      </c>
      <c r="AJ4" s="201">
        <f t="shared" si="1"/>
        <v>1500000</v>
      </c>
      <c r="AK4" s="201">
        <f t="shared" si="1"/>
        <v>1500000</v>
      </c>
      <c r="AL4" s="201">
        <f t="shared" si="1"/>
        <v>1500000</v>
      </c>
      <c r="AM4" s="201">
        <f t="shared" si="1"/>
        <v>1500000</v>
      </c>
      <c r="AN4" s="201">
        <f t="shared" si="1"/>
        <v>1500000</v>
      </c>
      <c r="AO4" s="201">
        <f t="shared" si="1"/>
        <v>1500000</v>
      </c>
      <c r="AP4" s="201">
        <f t="shared" si="1"/>
        <v>1500000</v>
      </c>
      <c r="AQ4" s="201">
        <f t="shared" si="1"/>
        <v>1500000</v>
      </c>
      <c r="AR4" s="201">
        <f t="shared" si="1"/>
        <v>1500000</v>
      </c>
      <c r="AS4" s="201">
        <f t="shared" si="1"/>
        <v>1500000</v>
      </c>
      <c r="AT4" s="201">
        <f t="shared" si="1"/>
        <v>1500000</v>
      </c>
      <c r="AU4" s="201">
        <f t="shared" si="1"/>
        <v>1500000</v>
      </c>
      <c r="AV4" s="201">
        <f t="shared" si="1"/>
        <v>1500000</v>
      </c>
      <c r="AW4" s="201">
        <f t="shared" si="1"/>
        <v>1500000</v>
      </c>
      <c r="AX4" s="201">
        <f t="shared" si="1"/>
        <v>1500000</v>
      </c>
      <c r="AY4" s="201">
        <f t="shared" si="1"/>
        <v>1500000</v>
      </c>
      <c r="AZ4" s="201">
        <f t="shared" si="1"/>
        <v>1500000</v>
      </c>
      <c r="BA4" s="201">
        <f t="shared" si="1"/>
        <v>1500000</v>
      </c>
      <c r="BB4" s="201">
        <f t="shared" si="1"/>
        <v>1500000</v>
      </c>
      <c r="BC4" s="201">
        <f t="shared" si="1"/>
        <v>1500000</v>
      </c>
      <c r="BD4" s="201">
        <f t="shared" si="1"/>
        <v>1500000</v>
      </c>
      <c r="BE4" s="201">
        <f t="shared" si="1"/>
        <v>1500000</v>
      </c>
      <c r="BF4" s="201">
        <f t="shared" si="1"/>
        <v>1500000</v>
      </c>
      <c r="BG4" s="201">
        <f t="shared" si="1"/>
        <v>1500000</v>
      </c>
      <c r="BH4" s="201">
        <f t="shared" si="1"/>
        <v>1500000</v>
      </c>
      <c r="BI4" s="201">
        <f t="shared" si="1"/>
        <v>1500000</v>
      </c>
      <c r="BJ4" s="201">
        <f t="shared" si="1"/>
        <v>1500000</v>
      </c>
    </row>
    <row r="5" spans="2:62" ht="15.6">
      <c r="B5" s="210" t="str">
        <f>Assumptions!A30</f>
        <v>Shop Upgrades</v>
      </c>
      <c r="C5" s="201">
        <f>Assumptions!B22</f>
        <v>950000</v>
      </c>
      <c r="D5" s="201">
        <f t="shared" ref="D5:BJ5" si="2">C5</f>
        <v>950000</v>
      </c>
      <c r="E5" s="201">
        <f t="shared" si="2"/>
        <v>950000</v>
      </c>
      <c r="F5" s="201">
        <f t="shared" si="2"/>
        <v>950000</v>
      </c>
      <c r="G5" s="201">
        <f t="shared" si="2"/>
        <v>950000</v>
      </c>
      <c r="H5" s="201">
        <f t="shared" si="2"/>
        <v>950000</v>
      </c>
      <c r="I5" s="201">
        <f t="shared" si="2"/>
        <v>950000</v>
      </c>
      <c r="J5" s="201">
        <f t="shared" si="2"/>
        <v>950000</v>
      </c>
      <c r="K5" s="201">
        <f t="shared" si="2"/>
        <v>950000</v>
      </c>
      <c r="L5" s="201">
        <f t="shared" si="2"/>
        <v>950000</v>
      </c>
      <c r="M5" s="201">
        <f t="shared" si="2"/>
        <v>950000</v>
      </c>
      <c r="N5" s="201">
        <f t="shared" si="2"/>
        <v>950000</v>
      </c>
      <c r="O5" s="201">
        <f t="shared" si="2"/>
        <v>950000</v>
      </c>
      <c r="P5" s="201">
        <f t="shared" si="2"/>
        <v>950000</v>
      </c>
      <c r="Q5" s="201">
        <f t="shared" si="2"/>
        <v>950000</v>
      </c>
      <c r="R5" s="201">
        <f t="shared" si="2"/>
        <v>950000</v>
      </c>
      <c r="S5" s="201">
        <f t="shared" si="2"/>
        <v>950000</v>
      </c>
      <c r="T5" s="201">
        <f t="shared" si="2"/>
        <v>950000</v>
      </c>
      <c r="U5" s="201">
        <f t="shared" si="2"/>
        <v>950000</v>
      </c>
      <c r="V5" s="201">
        <f t="shared" si="2"/>
        <v>950000</v>
      </c>
      <c r="W5" s="201">
        <f t="shared" si="2"/>
        <v>950000</v>
      </c>
      <c r="X5" s="201">
        <f t="shared" si="2"/>
        <v>950000</v>
      </c>
      <c r="Y5" s="201">
        <f t="shared" si="2"/>
        <v>950000</v>
      </c>
      <c r="Z5" s="201">
        <f t="shared" si="2"/>
        <v>950000</v>
      </c>
      <c r="AA5" s="201">
        <f t="shared" si="2"/>
        <v>950000</v>
      </c>
      <c r="AB5" s="201">
        <f t="shared" si="2"/>
        <v>950000</v>
      </c>
      <c r="AC5" s="201">
        <f t="shared" si="2"/>
        <v>950000</v>
      </c>
      <c r="AD5" s="201">
        <f t="shared" si="2"/>
        <v>950000</v>
      </c>
      <c r="AE5" s="201">
        <f t="shared" si="2"/>
        <v>950000</v>
      </c>
      <c r="AF5" s="201">
        <f t="shared" si="2"/>
        <v>950000</v>
      </c>
      <c r="AG5" s="201">
        <f t="shared" si="2"/>
        <v>950000</v>
      </c>
      <c r="AH5" s="201">
        <f t="shared" si="2"/>
        <v>950000</v>
      </c>
      <c r="AI5" s="201">
        <f t="shared" si="2"/>
        <v>950000</v>
      </c>
      <c r="AJ5" s="201">
        <f t="shared" si="2"/>
        <v>950000</v>
      </c>
      <c r="AK5" s="201">
        <f t="shared" si="2"/>
        <v>950000</v>
      </c>
      <c r="AL5" s="201">
        <f t="shared" si="2"/>
        <v>950000</v>
      </c>
      <c r="AM5" s="201">
        <f t="shared" si="2"/>
        <v>950000</v>
      </c>
      <c r="AN5" s="201">
        <f t="shared" si="2"/>
        <v>950000</v>
      </c>
      <c r="AO5" s="201">
        <f t="shared" si="2"/>
        <v>950000</v>
      </c>
      <c r="AP5" s="201">
        <f t="shared" si="2"/>
        <v>950000</v>
      </c>
      <c r="AQ5" s="201">
        <f t="shared" si="2"/>
        <v>950000</v>
      </c>
      <c r="AR5" s="201">
        <f t="shared" si="2"/>
        <v>950000</v>
      </c>
      <c r="AS5" s="201">
        <f t="shared" si="2"/>
        <v>950000</v>
      </c>
      <c r="AT5" s="201">
        <f t="shared" si="2"/>
        <v>950000</v>
      </c>
      <c r="AU5" s="201">
        <f t="shared" si="2"/>
        <v>950000</v>
      </c>
      <c r="AV5" s="201">
        <f t="shared" si="2"/>
        <v>950000</v>
      </c>
      <c r="AW5" s="201">
        <f t="shared" si="2"/>
        <v>950000</v>
      </c>
      <c r="AX5" s="201">
        <f t="shared" si="2"/>
        <v>950000</v>
      </c>
      <c r="AY5" s="201">
        <f t="shared" si="2"/>
        <v>950000</v>
      </c>
      <c r="AZ5" s="201">
        <f t="shared" si="2"/>
        <v>950000</v>
      </c>
      <c r="BA5" s="201">
        <f t="shared" si="2"/>
        <v>950000</v>
      </c>
      <c r="BB5" s="201">
        <f t="shared" si="2"/>
        <v>950000</v>
      </c>
      <c r="BC5" s="201">
        <f t="shared" si="2"/>
        <v>950000</v>
      </c>
      <c r="BD5" s="201">
        <f t="shared" si="2"/>
        <v>950000</v>
      </c>
      <c r="BE5" s="201">
        <f t="shared" si="2"/>
        <v>950000</v>
      </c>
      <c r="BF5" s="201">
        <f t="shared" si="2"/>
        <v>950000</v>
      </c>
      <c r="BG5" s="201">
        <f t="shared" si="2"/>
        <v>950000</v>
      </c>
      <c r="BH5" s="201">
        <f t="shared" si="2"/>
        <v>950000</v>
      </c>
      <c r="BI5" s="201">
        <f t="shared" si="2"/>
        <v>950000</v>
      </c>
      <c r="BJ5" s="201">
        <f t="shared" si="2"/>
        <v>950000</v>
      </c>
    </row>
    <row r="6" spans="2:62" ht="15.6" hidden="1">
      <c r="B6" s="210" t="str">
        <f>Assumptions!A31</f>
        <v/>
      </c>
      <c r="C6" s="201">
        <f>Assumptions!B23</f>
        <v>0</v>
      </c>
      <c r="D6" s="201">
        <f t="shared" ref="D6:BJ6" si="3">C6</f>
        <v>0</v>
      </c>
      <c r="E6" s="201">
        <f t="shared" si="3"/>
        <v>0</v>
      </c>
      <c r="F6" s="201">
        <f t="shared" si="3"/>
        <v>0</v>
      </c>
      <c r="G6" s="201">
        <f t="shared" si="3"/>
        <v>0</v>
      </c>
      <c r="H6" s="201">
        <f t="shared" si="3"/>
        <v>0</v>
      </c>
      <c r="I6" s="201">
        <f t="shared" si="3"/>
        <v>0</v>
      </c>
      <c r="J6" s="201">
        <f t="shared" si="3"/>
        <v>0</v>
      </c>
      <c r="K6" s="201">
        <f t="shared" si="3"/>
        <v>0</v>
      </c>
      <c r="L6" s="201">
        <f t="shared" si="3"/>
        <v>0</v>
      </c>
      <c r="M6" s="201">
        <f t="shared" si="3"/>
        <v>0</v>
      </c>
      <c r="N6" s="201">
        <f t="shared" si="3"/>
        <v>0</v>
      </c>
      <c r="O6" s="201">
        <f t="shared" si="3"/>
        <v>0</v>
      </c>
      <c r="P6" s="201">
        <f t="shared" si="3"/>
        <v>0</v>
      </c>
      <c r="Q6" s="201">
        <f t="shared" si="3"/>
        <v>0</v>
      </c>
      <c r="R6" s="201">
        <f t="shared" si="3"/>
        <v>0</v>
      </c>
      <c r="S6" s="201">
        <f t="shared" si="3"/>
        <v>0</v>
      </c>
      <c r="T6" s="201">
        <f t="shared" si="3"/>
        <v>0</v>
      </c>
      <c r="U6" s="201">
        <f t="shared" si="3"/>
        <v>0</v>
      </c>
      <c r="V6" s="201">
        <f t="shared" si="3"/>
        <v>0</v>
      </c>
      <c r="W6" s="201">
        <f t="shared" si="3"/>
        <v>0</v>
      </c>
      <c r="X6" s="201">
        <f t="shared" si="3"/>
        <v>0</v>
      </c>
      <c r="Y6" s="201">
        <f t="shared" si="3"/>
        <v>0</v>
      </c>
      <c r="Z6" s="201">
        <f t="shared" si="3"/>
        <v>0</v>
      </c>
      <c r="AA6" s="201">
        <f t="shared" si="3"/>
        <v>0</v>
      </c>
      <c r="AB6" s="201">
        <f t="shared" si="3"/>
        <v>0</v>
      </c>
      <c r="AC6" s="201">
        <f t="shared" si="3"/>
        <v>0</v>
      </c>
      <c r="AD6" s="201">
        <f t="shared" si="3"/>
        <v>0</v>
      </c>
      <c r="AE6" s="201">
        <f t="shared" si="3"/>
        <v>0</v>
      </c>
      <c r="AF6" s="201">
        <f t="shared" si="3"/>
        <v>0</v>
      </c>
      <c r="AG6" s="201">
        <f t="shared" si="3"/>
        <v>0</v>
      </c>
      <c r="AH6" s="201">
        <f t="shared" si="3"/>
        <v>0</v>
      </c>
      <c r="AI6" s="201">
        <f t="shared" si="3"/>
        <v>0</v>
      </c>
      <c r="AJ6" s="201">
        <f t="shared" si="3"/>
        <v>0</v>
      </c>
      <c r="AK6" s="201">
        <f t="shared" si="3"/>
        <v>0</v>
      </c>
      <c r="AL6" s="201">
        <f t="shared" si="3"/>
        <v>0</v>
      </c>
      <c r="AM6" s="201">
        <f t="shared" si="3"/>
        <v>0</v>
      </c>
      <c r="AN6" s="201">
        <f t="shared" si="3"/>
        <v>0</v>
      </c>
      <c r="AO6" s="201">
        <f t="shared" si="3"/>
        <v>0</v>
      </c>
      <c r="AP6" s="201">
        <f t="shared" si="3"/>
        <v>0</v>
      </c>
      <c r="AQ6" s="201">
        <f t="shared" si="3"/>
        <v>0</v>
      </c>
      <c r="AR6" s="201">
        <f t="shared" si="3"/>
        <v>0</v>
      </c>
      <c r="AS6" s="201">
        <f t="shared" si="3"/>
        <v>0</v>
      </c>
      <c r="AT6" s="201">
        <f t="shared" si="3"/>
        <v>0</v>
      </c>
      <c r="AU6" s="201">
        <f t="shared" si="3"/>
        <v>0</v>
      </c>
      <c r="AV6" s="201">
        <f t="shared" si="3"/>
        <v>0</v>
      </c>
      <c r="AW6" s="201">
        <f t="shared" si="3"/>
        <v>0</v>
      </c>
      <c r="AX6" s="201">
        <f t="shared" si="3"/>
        <v>0</v>
      </c>
      <c r="AY6" s="201">
        <f t="shared" si="3"/>
        <v>0</v>
      </c>
      <c r="AZ6" s="201">
        <f t="shared" si="3"/>
        <v>0</v>
      </c>
      <c r="BA6" s="201">
        <f t="shared" si="3"/>
        <v>0</v>
      </c>
      <c r="BB6" s="201">
        <f t="shared" si="3"/>
        <v>0</v>
      </c>
      <c r="BC6" s="201">
        <f t="shared" si="3"/>
        <v>0</v>
      </c>
      <c r="BD6" s="201">
        <f t="shared" si="3"/>
        <v>0</v>
      </c>
      <c r="BE6" s="201">
        <f t="shared" si="3"/>
        <v>0</v>
      </c>
      <c r="BF6" s="201">
        <f t="shared" si="3"/>
        <v>0</v>
      </c>
      <c r="BG6" s="201">
        <f t="shared" si="3"/>
        <v>0</v>
      </c>
      <c r="BH6" s="201">
        <f t="shared" si="3"/>
        <v>0</v>
      </c>
      <c r="BI6" s="201">
        <f t="shared" si="3"/>
        <v>0</v>
      </c>
      <c r="BJ6" s="201">
        <f t="shared" si="3"/>
        <v>0</v>
      </c>
    </row>
    <row r="7" spans="2:62" ht="15.6" hidden="1">
      <c r="B7" s="210" t="str">
        <f>Assumptions!A32</f>
        <v/>
      </c>
      <c r="C7" s="201">
        <f>Assumptions!B24</f>
        <v>0</v>
      </c>
      <c r="D7" s="201">
        <f t="shared" ref="D7:BJ7" si="4">C7</f>
        <v>0</v>
      </c>
      <c r="E7" s="201">
        <f t="shared" si="4"/>
        <v>0</v>
      </c>
      <c r="F7" s="201">
        <f t="shared" si="4"/>
        <v>0</v>
      </c>
      <c r="G7" s="201">
        <f t="shared" si="4"/>
        <v>0</v>
      </c>
      <c r="H7" s="201">
        <f t="shared" si="4"/>
        <v>0</v>
      </c>
      <c r="I7" s="201">
        <f t="shared" si="4"/>
        <v>0</v>
      </c>
      <c r="J7" s="201">
        <f t="shared" si="4"/>
        <v>0</v>
      </c>
      <c r="K7" s="201">
        <f t="shared" si="4"/>
        <v>0</v>
      </c>
      <c r="L7" s="201">
        <f t="shared" si="4"/>
        <v>0</v>
      </c>
      <c r="M7" s="201">
        <f t="shared" si="4"/>
        <v>0</v>
      </c>
      <c r="N7" s="201">
        <f t="shared" si="4"/>
        <v>0</v>
      </c>
      <c r="O7" s="201">
        <f t="shared" si="4"/>
        <v>0</v>
      </c>
      <c r="P7" s="201">
        <f t="shared" si="4"/>
        <v>0</v>
      </c>
      <c r="Q7" s="201">
        <f t="shared" si="4"/>
        <v>0</v>
      </c>
      <c r="R7" s="201">
        <f t="shared" si="4"/>
        <v>0</v>
      </c>
      <c r="S7" s="201">
        <f t="shared" si="4"/>
        <v>0</v>
      </c>
      <c r="T7" s="201">
        <f t="shared" si="4"/>
        <v>0</v>
      </c>
      <c r="U7" s="201">
        <f t="shared" si="4"/>
        <v>0</v>
      </c>
      <c r="V7" s="201">
        <f t="shared" si="4"/>
        <v>0</v>
      </c>
      <c r="W7" s="201">
        <f t="shared" si="4"/>
        <v>0</v>
      </c>
      <c r="X7" s="201">
        <f t="shared" si="4"/>
        <v>0</v>
      </c>
      <c r="Y7" s="201">
        <f t="shared" si="4"/>
        <v>0</v>
      </c>
      <c r="Z7" s="201">
        <f t="shared" si="4"/>
        <v>0</v>
      </c>
      <c r="AA7" s="201">
        <f t="shared" si="4"/>
        <v>0</v>
      </c>
      <c r="AB7" s="201">
        <f t="shared" si="4"/>
        <v>0</v>
      </c>
      <c r="AC7" s="201">
        <f t="shared" si="4"/>
        <v>0</v>
      </c>
      <c r="AD7" s="201">
        <f t="shared" si="4"/>
        <v>0</v>
      </c>
      <c r="AE7" s="201">
        <f t="shared" si="4"/>
        <v>0</v>
      </c>
      <c r="AF7" s="201">
        <f t="shared" si="4"/>
        <v>0</v>
      </c>
      <c r="AG7" s="201">
        <f t="shared" si="4"/>
        <v>0</v>
      </c>
      <c r="AH7" s="201">
        <f t="shared" si="4"/>
        <v>0</v>
      </c>
      <c r="AI7" s="201">
        <f t="shared" si="4"/>
        <v>0</v>
      </c>
      <c r="AJ7" s="201">
        <f t="shared" si="4"/>
        <v>0</v>
      </c>
      <c r="AK7" s="201">
        <f t="shared" si="4"/>
        <v>0</v>
      </c>
      <c r="AL7" s="201">
        <f t="shared" si="4"/>
        <v>0</v>
      </c>
      <c r="AM7" s="201">
        <f t="shared" si="4"/>
        <v>0</v>
      </c>
      <c r="AN7" s="201">
        <f t="shared" si="4"/>
        <v>0</v>
      </c>
      <c r="AO7" s="201">
        <f t="shared" si="4"/>
        <v>0</v>
      </c>
      <c r="AP7" s="201">
        <f t="shared" si="4"/>
        <v>0</v>
      </c>
      <c r="AQ7" s="201">
        <f t="shared" si="4"/>
        <v>0</v>
      </c>
      <c r="AR7" s="201">
        <f t="shared" si="4"/>
        <v>0</v>
      </c>
      <c r="AS7" s="201">
        <f t="shared" si="4"/>
        <v>0</v>
      </c>
      <c r="AT7" s="201">
        <f t="shared" si="4"/>
        <v>0</v>
      </c>
      <c r="AU7" s="201">
        <f t="shared" si="4"/>
        <v>0</v>
      </c>
      <c r="AV7" s="201">
        <f t="shared" si="4"/>
        <v>0</v>
      </c>
      <c r="AW7" s="201">
        <f t="shared" si="4"/>
        <v>0</v>
      </c>
      <c r="AX7" s="201">
        <f t="shared" si="4"/>
        <v>0</v>
      </c>
      <c r="AY7" s="201">
        <f t="shared" si="4"/>
        <v>0</v>
      </c>
      <c r="AZ7" s="201">
        <f t="shared" si="4"/>
        <v>0</v>
      </c>
      <c r="BA7" s="201">
        <f t="shared" si="4"/>
        <v>0</v>
      </c>
      <c r="BB7" s="201">
        <f t="shared" si="4"/>
        <v>0</v>
      </c>
      <c r="BC7" s="201">
        <f t="shared" si="4"/>
        <v>0</v>
      </c>
      <c r="BD7" s="201">
        <f t="shared" si="4"/>
        <v>0</v>
      </c>
      <c r="BE7" s="201">
        <f t="shared" si="4"/>
        <v>0</v>
      </c>
      <c r="BF7" s="201">
        <f t="shared" si="4"/>
        <v>0</v>
      </c>
      <c r="BG7" s="201">
        <f t="shared" si="4"/>
        <v>0</v>
      </c>
      <c r="BH7" s="201">
        <f t="shared" si="4"/>
        <v>0</v>
      </c>
      <c r="BI7" s="201">
        <f t="shared" si="4"/>
        <v>0</v>
      </c>
      <c r="BJ7" s="201">
        <f t="shared" si="4"/>
        <v>0</v>
      </c>
    </row>
    <row r="8" spans="2:62" ht="15.6" hidden="1">
      <c r="B8" s="210"/>
      <c r="C8" s="201">
        <f>Assumptions!B25</f>
        <v>0</v>
      </c>
      <c r="D8" s="201">
        <f t="shared" ref="D8:BJ8" si="5">C8</f>
        <v>0</v>
      </c>
      <c r="E8" s="201">
        <f t="shared" si="5"/>
        <v>0</v>
      </c>
      <c r="F8" s="201">
        <f t="shared" si="5"/>
        <v>0</v>
      </c>
      <c r="G8" s="201">
        <f t="shared" si="5"/>
        <v>0</v>
      </c>
      <c r="H8" s="201">
        <f t="shared" si="5"/>
        <v>0</v>
      </c>
      <c r="I8" s="201">
        <f t="shared" si="5"/>
        <v>0</v>
      </c>
      <c r="J8" s="201">
        <f t="shared" si="5"/>
        <v>0</v>
      </c>
      <c r="K8" s="201">
        <f t="shared" si="5"/>
        <v>0</v>
      </c>
      <c r="L8" s="201">
        <f t="shared" si="5"/>
        <v>0</v>
      </c>
      <c r="M8" s="201">
        <f t="shared" si="5"/>
        <v>0</v>
      </c>
      <c r="N8" s="201">
        <f t="shared" si="5"/>
        <v>0</v>
      </c>
      <c r="O8" s="201">
        <f t="shared" si="5"/>
        <v>0</v>
      </c>
      <c r="P8" s="201">
        <f t="shared" si="5"/>
        <v>0</v>
      </c>
      <c r="Q8" s="201">
        <f t="shared" si="5"/>
        <v>0</v>
      </c>
      <c r="R8" s="201">
        <f t="shared" si="5"/>
        <v>0</v>
      </c>
      <c r="S8" s="201">
        <f t="shared" si="5"/>
        <v>0</v>
      </c>
      <c r="T8" s="201">
        <f t="shared" si="5"/>
        <v>0</v>
      </c>
      <c r="U8" s="201">
        <f t="shared" si="5"/>
        <v>0</v>
      </c>
      <c r="V8" s="201">
        <f t="shared" si="5"/>
        <v>0</v>
      </c>
      <c r="W8" s="201">
        <f t="shared" si="5"/>
        <v>0</v>
      </c>
      <c r="X8" s="201">
        <f t="shared" si="5"/>
        <v>0</v>
      </c>
      <c r="Y8" s="201">
        <f t="shared" si="5"/>
        <v>0</v>
      </c>
      <c r="Z8" s="201">
        <f t="shared" si="5"/>
        <v>0</v>
      </c>
      <c r="AA8" s="201">
        <f t="shared" si="5"/>
        <v>0</v>
      </c>
      <c r="AB8" s="201">
        <f t="shared" si="5"/>
        <v>0</v>
      </c>
      <c r="AC8" s="201">
        <f t="shared" si="5"/>
        <v>0</v>
      </c>
      <c r="AD8" s="201">
        <f t="shared" si="5"/>
        <v>0</v>
      </c>
      <c r="AE8" s="201">
        <f t="shared" si="5"/>
        <v>0</v>
      </c>
      <c r="AF8" s="201">
        <f t="shared" si="5"/>
        <v>0</v>
      </c>
      <c r="AG8" s="201">
        <f t="shared" si="5"/>
        <v>0</v>
      </c>
      <c r="AH8" s="201">
        <f t="shared" si="5"/>
        <v>0</v>
      </c>
      <c r="AI8" s="201">
        <f t="shared" si="5"/>
        <v>0</v>
      </c>
      <c r="AJ8" s="201">
        <f t="shared" si="5"/>
        <v>0</v>
      </c>
      <c r="AK8" s="201">
        <f t="shared" si="5"/>
        <v>0</v>
      </c>
      <c r="AL8" s="201">
        <f t="shared" si="5"/>
        <v>0</v>
      </c>
      <c r="AM8" s="201">
        <f t="shared" si="5"/>
        <v>0</v>
      </c>
      <c r="AN8" s="201">
        <f t="shared" si="5"/>
        <v>0</v>
      </c>
      <c r="AO8" s="201">
        <f t="shared" si="5"/>
        <v>0</v>
      </c>
      <c r="AP8" s="201">
        <f t="shared" si="5"/>
        <v>0</v>
      </c>
      <c r="AQ8" s="201">
        <f t="shared" si="5"/>
        <v>0</v>
      </c>
      <c r="AR8" s="201">
        <f t="shared" si="5"/>
        <v>0</v>
      </c>
      <c r="AS8" s="201">
        <f t="shared" si="5"/>
        <v>0</v>
      </c>
      <c r="AT8" s="201">
        <f t="shared" si="5"/>
        <v>0</v>
      </c>
      <c r="AU8" s="201">
        <f t="shared" si="5"/>
        <v>0</v>
      </c>
      <c r="AV8" s="201">
        <f t="shared" si="5"/>
        <v>0</v>
      </c>
      <c r="AW8" s="201">
        <f t="shared" si="5"/>
        <v>0</v>
      </c>
      <c r="AX8" s="201">
        <f t="shared" si="5"/>
        <v>0</v>
      </c>
      <c r="AY8" s="201">
        <f t="shared" si="5"/>
        <v>0</v>
      </c>
      <c r="AZ8" s="201">
        <f t="shared" si="5"/>
        <v>0</v>
      </c>
      <c r="BA8" s="201">
        <f t="shared" si="5"/>
        <v>0</v>
      </c>
      <c r="BB8" s="201">
        <f t="shared" si="5"/>
        <v>0</v>
      </c>
      <c r="BC8" s="201">
        <f t="shared" si="5"/>
        <v>0</v>
      </c>
      <c r="BD8" s="201">
        <f t="shared" si="5"/>
        <v>0</v>
      </c>
      <c r="BE8" s="201">
        <f t="shared" si="5"/>
        <v>0</v>
      </c>
      <c r="BF8" s="201">
        <f t="shared" si="5"/>
        <v>0</v>
      </c>
      <c r="BG8" s="201">
        <f t="shared" si="5"/>
        <v>0</v>
      </c>
      <c r="BH8" s="201">
        <f t="shared" si="5"/>
        <v>0</v>
      </c>
      <c r="BI8" s="201">
        <f t="shared" si="5"/>
        <v>0</v>
      </c>
      <c r="BJ8" s="201">
        <f t="shared" si="5"/>
        <v>0</v>
      </c>
    </row>
    <row r="9" spans="2:62" ht="15.6">
      <c r="B9" s="94" t="s">
        <v>26</v>
      </c>
      <c r="C9" s="203">
        <f>SUM(C3:C8)</f>
        <v>4450000</v>
      </c>
      <c r="D9" s="203">
        <f t="shared" ref="D9:BJ9" si="6">SUM(D3:D8)</f>
        <v>4450000</v>
      </c>
      <c r="E9" s="203">
        <f t="shared" si="6"/>
        <v>4450000</v>
      </c>
      <c r="F9" s="203">
        <f t="shared" si="6"/>
        <v>4450000</v>
      </c>
      <c r="G9" s="203">
        <f t="shared" si="6"/>
        <v>4450000</v>
      </c>
      <c r="H9" s="203">
        <f t="shared" si="6"/>
        <v>4450000</v>
      </c>
      <c r="I9" s="203">
        <f t="shared" si="6"/>
        <v>4450000</v>
      </c>
      <c r="J9" s="203">
        <f t="shared" si="6"/>
        <v>4450000</v>
      </c>
      <c r="K9" s="203">
        <f t="shared" si="6"/>
        <v>4450000</v>
      </c>
      <c r="L9" s="203">
        <f t="shared" si="6"/>
        <v>4450000</v>
      </c>
      <c r="M9" s="203">
        <f t="shared" si="6"/>
        <v>4450000</v>
      </c>
      <c r="N9" s="203">
        <f t="shared" si="6"/>
        <v>4450000</v>
      </c>
      <c r="O9" s="203">
        <f t="shared" si="6"/>
        <v>4450000</v>
      </c>
      <c r="P9" s="203">
        <f t="shared" si="6"/>
        <v>4450000</v>
      </c>
      <c r="Q9" s="203">
        <f t="shared" si="6"/>
        <v>4450000</v>
      </c>
      <c r="R9" s="203">
        <f t="shared" si="6"/>
        <v>4450000</v>
      </c>
      <c r="S9" s="203">
        <f t="shared" si="6"/>
        <v>4450000</v>
      </c>
      <c r="T9" s="203">
        <f t="shared" si="6"/>
        <v>4450000</v>
      </c>
      <c r="U9" s="203">
        <f t="shared" si="6"/>
        <v>4450000</v>
      </c>
      <c r="V9" s="203">
        <f t="shared" si="6"/>
        <v>4450000</v>
      </c>
      <c r="W9" s="203">
        <f t="shared" si="6"/>
        <v>4450000</v>
      </c>
      <c r="X9" s="203">
        <f t="shared" si="6"/>
        <v>4450000</v>
      </c>
      <c r="Y9" s="203">
        <f t="shared" si="6"/>
        <v>4450000</v>
      </c>
      <c r="Z9" s="203">
        <f t="shared" si="6"/>
        <v>4450000</v>
      </c>
      <c r="AA9" s="203">
        <f t="shared" si="6"/>
        <v>4450000</v>
      </c>
      <c r="AB9" s="203">
        <f t="shared" si="6"/>
        <v>4450000</v>
      </c>
      <c r="AC9" s="203">
        <f t="shared" si="6"/>
        <v>4450000</v>
      </c>
      <c r="AD9" s="203">
        <f t="shared" si="6"/>
        <v>4450000</v>
      </c>
      <c r="AE9" s="203">
        <f t="shared" si="6"/>
        <v>4450000</v>
      </c>
      <c r="AF9" s="203">
        <f t="shared" si="6"/>
        <v>4450000</v>
      </c>
      <c r="AG9" s="203">
        <f t="shared" si="6"/>
        <v>4450000</v>
      </c>
      <c r="AH9" s="203">
        <f t="shared" si="6"/>
        <v>4450000</v>
      </c>
      <c r="AI9" s="203">
        <f t="shared" si="6"/>
        <v>4450000</v>
      </c>
      <c r="AJ9" s="203">
        <f t="shared" si="6"/>
        <v>4450000</v>
      </c>
      <c r="AK9" s="203">
        <f t="shared" si="6"/>
        <v>4450000</v>
      </c>
      <c r="AL9" s="203">
        <f t="shared" si="6"/>
        <v>4450000</v>
      </c>
      <c r="AM9" s="203">
        <f t="shared" si="6"/>
        <v>4450000</v>
      </c>
      <c r="AN9" s="203">
        <f t="shared" si="6"/>
        <v>4450000</v>
      </c>
      <c r="AO9" s="203">
        <f t="shared" si="6"/>
        <v>4450000</v>
      </c>
      <c r="AP9" s="203">
        <f t="shared" si="6"/>
        <v>4450000</v>
      </c>
      <c r="AQ9" s="203">
        <f t="shared" si="6"/>
        <v>4450000</v>
      </c>
      <c r="AR9" s="203">
        <f t="shared" si="6"/>
        <v>4450000</v>
      </c>
      <c r="AS9" s="203">
        <f t="shared" si="6"/>
        <v>4450000</v>
      </c>
      <c r="AT9" s="203">
        <f t="shared" si="6"/>
        <v>4450000</v>
      </c>
      <c r="AU9" s="203">
        <f t="shared" si="6"/>
        <v>4450000</v>
      </c>
      <c r="AV9" s="203">
        <f t="shared" si="6"/>
        <v>4450000</v>
      </c>
      <c r="AW9" s="203">
        <f t="shared" si="6"/>
        <v>4450000</v>
      </c>
      <c r="AX9" s="203">
        <f t="shared" si="6"/>
        <v>4450000</v>
      </c>
      <c r="AY9" s="203">
        <f t="shared" si="6"/>
        <v>4450000</v>
      </c>
      <c r="AZ9" s="203">
        <f t="shared" si="6"/>
        <v>4450000</v>
      </c>
      <c r="BA9" s="203">
        <f t="shared" si="6"/>
        <v>4450000</v>
      </c>
      <c r="BB9" s="203">
        <f t="shared" si="6"/>
        <v>4450000</v>
      </c>
      <c r="BC9" s="203">
        <f t="shared" si="6"/>
        <v>4450000</v>
      </c>
      <c r="BD9" s="203">
        <f t="shared" si="6"/>
        <v>4450000</v>
      </c>
      <c r="BE9" s="203">
        <f t="shared" si="6"/>
        <v>4450000</v>
      </c>
      <c r="BF9" s="203">
        <f t="shared" si="6"/>
        <v>4450000</v>
      </c>
      <c r="BG9" s="203">
        <f t="shared" si="6"/>
        <v>4450000</v>
      </c>
      <c r="BH9" s="203">
        <f t="shared" si="6"/>
        <v>4450000</v>
      </c>
      <c r="BI9" s="203">
        <f t="shared" si="6"/>
        <v>4450000</v>
      </c>
      <c r="BJ9" s="203">
        <f t="shared" si="6"/>
        <v>4450000</v>
      </c>
    </row>
    <row r="12" spans="2:62" ht="17.399999999999999">
      <c r="B12" s="102" t="s">
        <v>106</v>
      </c>
      <c r="C12" s="171" t="s">
        <v>15</v>
      </c>
      <c r="D12" s="171" t="s">
        <v>41</v>
      </c>
      <c r="E12" s="171" t="s">
        <v>42</v>
      </c>
      <c r="F12" s="171" t="s">
        <v>43</v>
      </c>
      <c r="G12" s="171" t="s">
        <v>44</v>
      </c>
      <c r="H12" s="171" t="s">
        <v>45</v>
      </c>
      <c r="I12" s="171" t="s">
        <v>46</v>
      </c>
      <c r="J12" s="171" t="s">
        <v>47</v>
      </c>
      <c r="K12" s="171" t="s">
        <v>48</v>
      </c>
      <c r="L12" s="171" t="s">
        <v>49</v>
      </c>
      <c r="M12" s="171" t="s">
        <v>50</v>
      </c>
      <c r="N12" s="171" t="s">
        <v>51</v>
      </c>
      <c r="O12" s="171" t="s">
        <v>20</v>
      </c>
      <c r="P12" s="171" t="s">
        <v>52</v>
      </c>
      <c r="Q12" s="171" t="s">
        <v>53</v>
      </c>
      <c r="R12" s="171" t="s">
        <v>54</v>
      </c>
      <c r="S12" s="171" t="s">
        <v>55</v>
      </c>
      <c r="T12" s="171" t="s">
        <v>56</v>
      </c>
      <c r="U12" s="171" t="s">
        <v>57</v>
      </c>
      <c r="V12" s="171" t="s">
        <v>58</v>
      </c>
      <c r="W12" s="171" t="s">
        <v>59</v>
      </c>
      <c r="X12" s="171" t="s">
        <v>60</v>
      </c>
      <c r="Y12" s="171" t="s">
        <v>61</v>
      </c>
      <c r="Z12" s="171" t="s">
        <v>62</v>
      </c>
      <c r="AA12" s="171" t="s">
        <v>63</v>
      </c>
      <c r="AB12" s="171" t="s">
        <v>64</v>
      </c>
      <c r="AC12" s="171" t="s">
        <v>65</v>
      </c>
      <c r="AD12" s="171" t="s">
        <v>66</v>
      </c>
      <c r="AE12" s="171" t="s">
        <v>67</v>
      </c>
      <c r="AF12" s="171" t="s">
        <v>68</v>
      </c>
      <c r="AG12" s="171" t="s">
        <v>69</v>
      </c>
      <c r="AH12" s="171" t="s">
        <v>70</v>
      </c>
      <c r="AI12" s="171" t="s">
        <v>71</v>
      </c>
      <c r="AJ12" s="171" t="s">
        <v>72</v>
      </c>
      <c r="AK12" s="171" t="s">
        <v>73</v>
      </c>
      <c r="AL12" s="171" t="s">
        <v>74</v>
      </c>
      <c r="AM12" s="171" t="s">
        <v>75</v>
      </c>
      <c r="AN12" s="171" t="s">
        <v>76</v>
      </c>
      <c r="AO12" s="171" t="s">
        <v>77</v>
      </c>
      <c r="AP12" s="171" t="s">
        <v>78</v>
      </c>
      <c r="AQ12" s="171" t="s">
        <v>79</v>
      </c>
      <c r="AR12" s="171" t="s">
        <v>80</v>
      </c>
      <c r="AS12" s="171" t="s">
        <v>81</v>
      </c>
      <c r="AT12" s="171" t="s">
        <v>82</v>
      </c>
      <c r="AU12" s="171" t="s">
        <v>83</v>
      </c>
      <c r="AV12" s="171" t="s">
        <v>84</v>
      </c>
      <c r="AW12" s="171" t="s">
        <v>85</v>
      </c>
      <c r="AX12" s="171" t="s">
        <v>86</v>
      </c>
      <c r="AY12" s="171" t="s">
        <v>87</v>
      </c>
      <c r="AZ12" s="171" t="s">
        <v>88</v>
      </c>
      <c r="BA12" s="171" t="s">
        <v>89</v>
      </c>
      <c r="BB12" s="171" t="s">
        <v>90</v>
      </c>
      <c r="BC12" s="171" t="s">
        <v>91</v>
      </c>
      <c r="BD12" s="171" t="s">
        <v>92</v>
      </c>
      <c r="BE12" s="171" t="s">
        <v>93</v>
      </c>
      <c r="BF12" s="171" t="s">
        <v>94</v>
      </c>
      <c r="BG12" s="171" t="s">
        <v>95</v>
      </c>
      <c r="BH12" s="171" t="s">
        <v>96</v>
      </c>
      <c r="BI12" s="171" t="s">
        <v>97</v>
      </c>
      <c r="BJ12" s="171" t="s">
        <v>98</v>
      </c>
    </row>
    <row r="13" spans="2:62" ht="15.6">
      <c r="B13" s="210" t="str">
        <f>B3</f>
        <v>Metal Fabrication Shop Acquisition</v>
      </c>
      <c r="C13" s="201">
        <f>IFERROR(VLOOKUP(C$12,Assumptions!$B$28:$C$28,2,FALSE),0)</f>
        <v>0</v>
      </c>
      <c r="D13" s="201">
        <f>IFERROR(VLOOKUP(D$12,Assumptions!$B$28:$C$28,2,FALSE),0)</f>
        <v>0</v>
      </c>
      <c r="E13" s="201">
        <f>IFERROR(VLOOKUP(E$12,Assumptions!$B$28:$C$28,2,FALSE),0)</f>
        <v>0</v>
      </c>
      <c r="F13" s="201">
        <f>IFERROR(VLOOKUP(F$12,Assumptions!$B$28:$C$28,2,FALSE),0)</f>
        <v>0</v>
      </c>
      <c r="G13" s="201">
        <f>IFERROR(VLOOKUP(G$12,Assumptions!$B$28:$C$28,2,FALSE),0)</f>
        <v>0</v>
      </c>
      <c r="H13" s="201">
        <f>IFERROR(VLOOKUP(H$12,Assumptions!$B$28:$C$28,2,FALSE),0)</f>
        <v>0</v>
      </c>
      <c r="I13" s="201">
        <f>IFERROR(VLOOKUP(I$12,Assumptions!$B$28:$C$28,2,FALSE),0)</f>
        <v>0</v>
      </c>
      <c r="J13" s="201">
        <f>IFERROR(VLOOKUP(J$12,Assumptions!$B$28:$C$28,2,FALSE),0)</f>
        <v>0</v>
      </c>
      <c r="K13" s="201">
        <f>IFERROR(VLOOKUP(K$12,Assumptions!$B$28:$C$28,2,FALSE),0)</f>
        <v>0</v>
      </c>
      <c r="L13" s="201">
        <f>IFERROR(VLOOKUP(L$12,Assumptions!$B$28:$C$28,2,FALSE),0)</f>
        <v>0</v>
      </c>
      <c r="M13" s="201">
        <f>IFERROR(VLOOKUP(M$12,Assumptions!$B$28:$C$28,2,FALSE),0)</f>
        <v>0</v>
      </c>
      <c r="N13" s="201">
        <f>IFERROR(VLOOKUP(N$12,Assumptions!$B$28:$C$28,2,FALSE),0)</f>
        <v>0</v>
      </c>
      <c r="O13" s="201">
        <f>IFERROR(VLOOKUP(O$12,Assumptions!$B$28:$C$28,2,FALSE),0)</f>
        <v>0</v>
      </c>
      <c r="P13" s="201">
        <f>IFERROR(VLOOKUP(P$12,Assumptions!$B$28:$C$28,2,FALSE),0)</f>
        <v>0</v>
      </c>
      <c r="Q13" s="201">
        <f>IFERROR(VLOOKUP(Q$12,Assumptions!$B$28:$C$28,2,FALSE),0)</f>
        <v>0</v>
      </c>
      <c r="R13" s="201">
        <f>IFERROR(VLOOKUP(R$12,Assumptions!$B$28:$C$28,2,FALSE),0)</f>
        <v>0</v>
      </c>
      <c r="S13" s="201">
        <f>IFERROR(VLOOKUP(S$12,Assumptions!$B$28:$C$28,2,FALSE),0)</f>
        <v>0</v>
      </c>
      <c r="T13" s="201">
        <f>IFERROR(VLOOKUP(T$12,Assumptions!$B$28:$C$28,2,FALSE),0)</f>
        <v>0</v>
      </c>
      <c r="U13" s="201">
        <f>IFERROR(VLOOKUP(U$12,Assumptions!$B$28:$C$28,2,FALSE),0)</f>
        <v>0</v>
      </c>
      <c r="V13" s="201">
        <f>IFERROR(VLOOKUP(V$12,Assumptions!$B$28:$C$28,2,FALSE),0)</f>
        <v>0</v>
      </c>
      <c r="W13" s="201">
        <f>IFERROR(VLOOKUP(W$12,Assumptions!$B$28:$C$28,2,FALSE),0)</f>
        <v>0</v>
      </c>
      <c r="X13" s="201">
        <f>IFERROR(VLOOKUP(X$12,Assumptions!$B$28:$C$28,2,FALSE),0)</f>
        <v>0</v>
      </c>
      <c r="Y13" s="201">
        <f>IFERROR(VLOOKUP(Y$12,Assumptions!$B$28:$C$28,2,FALSE),0)</f>
        <v>0</v>
      </c>
      <c r="Z13" s="201">
        <f>IFERROR(VLOOKUP(Z$12,Assumptions!$B$28:$C$28,2,FALSE),0)</f>
        <v>0</v>
      </c>
      <c r="AA13" s="201">
        <f>IFERROR(VLOOKUP(AA$12,Assumptions!$B$28:$C$28,2,FALSE),0)</f>
        <v>0</v>
      </c>
      <c r="AB13" s="201">
        <f>IFERROR(VLOOKUP(AB$12,Assumptions!$B$28:$C$28,2,FALSE),0)</f>
        <v>0</v>
      </c>
      <c r="AC13" s="201">
        <f>IFERROR(VLOOKUP(AC$12,Assumptions!$B$28:$C$28,2,FALSE),0)</f>
        <v>0</v>
      </c>
      <c r="AD13" s="201">
        <f>IFERROR(VLOOKUP(AD$12,Assumptions!$B$28:$C$28,2,FALSE),0)</f>
        <v>0</v>
      </c>
      <c r="AE13" s="201">
        <f>IFERROR(VLOOKUP(AE$12,Assumptions!$B$28:$C$28,2,FALSE),0)</f>
        <v>0</v>
      </c>
      <c r="AF13" s="201">
        <f>IFERROR(VLOOKUP(AF$12,Assumptions!$B$28:$C$28,2,FALSE),0)</f>
        <v>0</v>
      </c>
      <c r="AG13" s="201">
        <f>IFERROR(VLOOKUP(AG$12,Assumptions!$B$28:$C$28,2,FALSE),0)</f>
        <v>0</v>
      </c>
      <c r="AH13" s="201">
        <f>IFERROR(VLOOKUP(AH$12,Assumptions!$B$28:$C$28,2,FALSE),0)</f>
        <v>0</v>
      </c>
      <c r="AI13" s="201">
        <f>IFERROR(VLOOKUP(AI$12,Assumptions!$B$28:$C$28,2,FALSE),0)</f>
        <v>0</v>
      </c>
      <c r="AJ13" s="201">
        <f>IFERROR(VLOOKUP(AJ$12,Assumptions!$B$28:$C$28,2,FALSE),0)</f>
        <v>0</v>
      </c>
      <c r="AK13" s="201">
        <f>IFERROR(VLOOKUP(AK$12,Assumptions!$B$28:$C$28,2,FALSE),0)</f>
        <v>0</v>
      </c>
      <c r="AL13" s="201">
        <f>IFERROR(VLOOKUP(AL$12,Assumptions!$B$28:$C$28,2,FALSE),0)</f>
        <v>0</v>
      </c>
      <c r="AM13" s="201">
        <f>IFERROR(VLOOKUP(AM$12,Assumptions!$B$28:$C$28,2,FALSE),0)</f>
        <v>0</v>
      </c>
      <c r="AN13" s="201">
        <f>IFERROR(VLOOKUP(AN$12,Assumptions!$B$28:$C$28,2,FALSE),0)</f>
        <v>0</v>
      </c>
      <c r="AO13" s="201">
        <f>IFERROR(VLOOKUP(AO$12,Assumptions!$B$28:$C$28,2,FALSE),0)</f>
        <v>0</v>
      </c>
      <c r="AP13" s="201">
        <f>IFERROR(VLOOKUP(AP$12,Assumptions!$B$28:$C$28,2,FALSE),0)</f>
        <v>0</v>
      </c>
      <c r="AQ13" s="201">
        <f>IFERROR(VLOOKUP(AQ$12,Assumptions!$B$28:$C$28,2,FALSE),0)</f>
        <v>0</v>
      </c>
      <c r="AR13" s="201">
        <f>IFERROR(VLOOKUP(AR$12,Assumptions!$B$28:$C$28,2,FALSE),0)</f>
        <v>0</v>
      </c>
      <c r="AS13" s="201">
        <f>IFERROR(VLOOKUP(AS$12,Assumptions!$B$28:$C$28,2,FALSE),0)</f>
        <v>0</v>
      </c>
      <c r="AT13" s="201">
        <f>IFERROR(VLOOKUP(AT$12,Assumptions!$B$28:$C$28,2,FALSE),0)</f>
        <v>0</v>
      </c>
      <c r="AU13" s="201">
        <f>IFERROR(VLOOKUP(AU$12,Assumptions!$B$28:$C$28,2,FALSE),0)</f>
        <v>0</v>
      </c>
      <c r="AV13" s="201">
        <f>IFERROR(VLOOKUP(AV$12,Assumptions!$B$28:$C$28,2,FALSE),0)</f>
        <v>0</v>
      </c>
      <c r="AW13" s="201">
        <f>IFERROR(VLOOKUP(AW$12,Assumptions!$B$28:$C$28,2,FALSE),0)</f>
        <v>0</v>
      </c>
      <c r="AX13" s="201">
        <f>IFERROR(VLOOKUP(AX$12,Assumptions!$B$28:$C$28,2,FALSE),0)</f>
        <v>0</v>
      </c>
      <c r="AY13" s="201">
        <f>IFERROR(VLOOKUP(AY$12,Assumptions!$B$28:$C$28,2,FALSE),0)</f>
        <v>0</v>
      </c>
      <c r="AZ13" s="201">
        <f>IFERROR(VLOOKUP(AZ$12,Assumptions!$B$28:$C$28,2,FALSE),0)</f>
        <v>0</v>
      </c>
      <c r="BA13" s="201">
        <f>IFERROR(VLOOKUP(BA$12,Assumptions!$B$28:$C$28,2,FALSE),0)</f>
        <v>0</v>
      </c>
      <c r="BB13" s="201">
        <f>IFERROR(VLOOKUP(BB$12,Assumptions!$B$28:$C$28,2,FALSE),0)</f>
        <v>0</v>
      </c>
      <c r="BC13" s="201">
        <f>IFERROR(VLOOKUP(BC$12,Assumptions!$B$28:$C$28,2,FALSE),0)</f>
        <v>0</v>
      </c>
      <c r="BD13" s="201">
        <f>IFERROR(VLOOKUP(BD$12,Assumptions!$B$28:$C$28,2,FALSE),0)</f>
        <v>0</v>
      </c>
      <c r="BE13" s="201">
        <f>IFERROR(VLOOKUP(BE$12,Assumptions!$B$28:$C$28,2,FALSE),0)</f>
        <v>0</v>
      </c>
      <c r="BF13" s="201">
        <f>IFERROR(VLOOKUP(BF$12,Assumptions!$B$28:$C$28,2,FALSE),0)</f>
        <v>0</v>
      </c>
      <c r="BG13" s="201">
        <f>IFERROR(VLOOKUP(BG$12,Assumptions!$B$28:$C$28,2,FALSE),0)</f>
        <v>0</v>
      </c>
      <c r="BH13" s="201">
        <f>IFERROR(VLOOKUP(BH$12,Assumptions!$B$28:$C$28,2,FALSE),0)</f>
        <v>0</v>
      </c>
      <c r="BI13" s="201">
        <f>IFERROR(VLOOKUP(BI$12,Assumptions!$B$28:$C$28,2,FALSE),0)</f>
        <v>0</v>
      </c>
      <c r="BJ13" s="201">
        <f>IFERROR(VLOOKUP(BJ$12,Assumptions!$B$28:$C$28,2,FALSE),0)</f>
        <v>0</v>
      </c>
    </row>
    <row r="14" spans="2:62" ht="15.6">
      <c r="B14" s="210" t="str">
        <f t="shared" ref="B14:B17" si="7">B4</f>
        <v>R&amp;D Surveillance System</v>
      </c>
      <c r="C14" s="201">
        <f>IFERROR(VLOOKUP(C$12,Assumptions!$B$29:$C$29,2,FALSE),0)</f>
        <v>0</v>
      </c>
      <c r="D14" s="201">
        <f>IFERROR(VLOOKUP(D$12,Assumptions!$B$29:$C$29,2,FALSE),0)</f>
        <v>0</v>
      </c>
      <c r="E14" s="201">
        <f>IFERROR(VLOOKUP(E$12,Assumptions!$B$29:$C$29,2,FALSE),0)</f>
        <v>0</v>
      </c>
      <c r="F14" s="201">
        <f>IFERROR(VLOOKUP(F$12,Assumptions!$B$29:$C$29,2,FALSE),0)</f>
        <v>0</v>
      </c>
      <c r="G14" s="201">
        <f>IFERROR(VLOOKUP(G$12,Assumptions!$B$29:$C$29,2,FALSE),0)</f>
        <v>0</v>
      </c>
      <c r="H14" s="201">
        <f>IFERROR(VLOOKUP(H$12,Assumptions!$B$29:$C$29,2,FALSE),0)</f>
        <v>0</v>
      </c>
      <c r="I14" s="201">
        <f>IFERROR(VLOOKUP(I$12,Assumptions!$B$29:$C$29,2,FALSE),0)</f>
        <v>0</v>
      </c>
      <c r="J14" s="201">
        <f>IFERROR(VLOOKUP(J$12,Assumptions!$B$29:$C$29,2,FALSE),0)</f>
        <v>0</v>
      </c>
      <c r="K14" s="201">
        <f>IFERROR(VLOOKUP(K$12,Assumptions!$B$29:$C$29,2,FALSE),0)</f>
        <v>0</v>
      </c>
      <c r="L14" s="201">
        <f>IFERROR(VLOOKUP(L$12,Assumptions!$B$29:$C$29,2,FALSE),0)</f>
        <v>0</v>
      </c>
      <c r="M14" s="201">
        <f>IFERROR(VLOOKUP(M$12,Assumptions!$B$29:$C$29,2,FALSE),0)</f>
        <v>0</v>
      </c>
      <c r="N14" s="201">
        <f>IFERROR(VLOOKUP(N$12,Assumptions!$B$29:$C$29,2,FALSE),0)</f>
        <v>0</v>
      </c>
      <c r="O14" s="201">
        <f>IFERROR(VLOOKUP(O$12,Assumptions!$B$29:$C$29,2,FALSE),0)</f>
        <v>0</v>
      </c>
      <c r="P14" s="201">
        <f>IFERROR(VLOOKUP(P$12,Assumptions!$B$29:$C$29,2,FALSE),0)</f>
        <v>0</v>
      </c>
      <c r="Q14" s="201">
        <f>IFERROR(VLOOKUP(Q$12,Assumptions!$B$29:$C$29,2,FALSE),0)</f>
        <v>0</v>
      </c>
      <c r="R14" s="201">
        <f>IFERROR(VLOOKUP(R$12,Assumptions!$B$29:$C$29,2,FALSE),0)</f>
        <v>0</v>
      </c>
      <c r="S14" s="201">
        <f>IFERROR(VLOOKUP(S$12,Assumptions!$B$29:$C$29,2,FALSE),0)</f>
        <v>0</v>
      </c>
      <c r="T14" s="201">
        <f>IFERROR(VLOOKUP(T$12,Assumptions!$B$29:$C$29,2,FALSE),0)</f>
        <v>0</v>
      </c>
      <c r="U14" s="201">
        <f>IFERROR(VLOOKUP(U$12,Assumptions!$B$29:$C$29,2,FALSE),0)</f>
        <v>0</v>
      </c>
      <c r="V14" s="201">
        <f>IFERROR(VLOOKUP(V$12,Assumptions!$B$29:$C$29,2,FALSE),0)</f>
        <v>0</v>
      </c>
      <c r="W14" s="201">
        <f>IFERROR(VLOOKUP(W$12,Assumptions!$B$29:$C$29,2,FALSE),0)</f>
        <v>0</v>
      </c>
      <c r="X14" s="201">
        <f>IFERROR(VLOOKUP(X$12,Assumptions!$B$29:$C$29,2,FALSE),0)</f>
        <v>0</v>
      </c>
      <c r="Y14" s="201">
        <f>IFERROR(VLOOKUP(Y$12,Assumptions!$B$29:$C$29,2,FALSE),0)</f>
        <v>0</v>
      </c>
      <c r="Z14" s="201">
        <f>IFERROR(VLOOKUP(Z$12,Assumptions!$B$29:$C$29,2,FALSE),0)</f>
        <v>0</v>
      </c>
      <c r="AA14" s="201">
        <f>IFERROR(VLOOKUP(AA$12,Assumptions!$B$29:$C$29,2,FALSE),0)</f>
        <v>0</v>
      </c>
      <c r="AB14" s="201">
        <f>IFERROR(VLOOKUP(AB$12,Assumptions!$B$29:$C$29,2,FALSE),0)</f>
        <v>0</v>
      </c>
      <c r="AC14" s="201">
        <f>IFERROR(VLOOKUP(AC$12,Assumptions!$B$29:$C$29,2,FALSE),0)</f>
        <v>0</v>
      </c>
      <c r="AD14" s="201">
        <f>IFERROR(VLOOKUP(AD$12,Assumptions!$B$29:$C$29,2,FALSE),0)</f>
        <v>0</v>
      </c>
      <c r="AE14" s="201">
        <f>IFERROR(VLOOKUP(AE$12,Assumptions!$B$29:$C$29,2,FALSE),0)</f>
        <v>0</v>
      </c>
      <c r="AF14" s="201">
        <f>IFERROR(VLOOKUP(AF$12,Assumptions!$B$29:$C$29,2,FALSE),0)</f>
        <v>0</v>
      </c>
      <c r="AG14" s="201">
        <f>IFERROR(VLOOKUP(AG$12,Assumptions!$B$29:$C$29,2,FALSE),0)</f>
        <v>0</v>
      </c>
      <c r="AH14" s="201">
        <f>IFERROR(VLOOKUP(AH$12,Assumptions!$B$29:$C$29,2,FALSE),0)</f>
        <v>0</v>
      </c>
      <c r="AI14" s="201">
        <f>IFERROR(VLOOKUP(AI$12,Assumptions!$B$29:$C$29,2,FALSE),0)</f>
        <v>0</v>
      </c>
      <c r="AJ14" s="201">
        <f>IFERROR(VLOOKUP(AJ$12,Assumptions!$B$29:$C$29,2,FALSE),0)</f>
        <v>0</v>
      </c>
      <c r="AK14" s="201">
        <f>IFERROR(VLOOKUP(AK$12,Assumptions!$B$29:$C$29,2,FALSE),0)</f>
        <v>0</v>
      </c>
      <c r="AL14" s="201">
        <f>IFERROR(VLOOKUP(AL$12,Assumptions!$B$29:$C$29,2,FALSE),0)</f>
        <v>0</v>
      </c>
      <c r="AM14" s="201">
        <f>IFERROR(VLOOKUP(AM$12,Assumptions!$B$29:$C$29,2,FALSE),0)</f>
        <v>0</v>
      </c>
      <c r="AN14" s="201">
        <f>IFERROR(VLOOKUP(AN$12,Assumptions!$B$29:$C$29,2,FALSE),0)</f>
        <v>0</v>
      </c>
      <c r="AO14" s="201">
        <f>IFERROR(VLOOKUP(AO$12,Assumptions!$B$29:$C$29,2,FALSE),0)</f>
        <v>0</v>
      </c>
      <c r="AP14" s="201">
        <f>IFERROR(VLOOKUP(AP$12,Assumptions!$B$29:$C$29,2,FALSE),0)</f>
        <v>0</v>
      </c>
      <c r="AQ14" s="201">
        <f>IFERROR(VLOOKUP(AQ$12,Assumptions!$B$29:$C$29,2,FALSE),0)</f>
        <v>0</v>
      </c>
      <c r="AR14" s="201">
        <f>IFERROR(VLOOKUP(AR$12,Assumptions!$B$29:$C$29,2,FALSE),0)</f>
        <v>0</v>
      </c>
      <c r="AS14" s="201">
        <f>IFERROR(VLOOKUP(AS$12,Assumptions!$B$29:$C$29,2,FALSE),0)</f>
        <v>0</v>
      </c>
      <c r="AT14" s="201">
        <f>IFERROR(VLOOKUP(AT$12,Assumptions!$B$29:$C$29,2,FALSE),0)</f>
        <v>0</v>
      </c>
      <c r="AU14" s="201">
        <f>IFERROR(VLOOKUP(AU$12,Assumptions!$B$29:$C$29,2,FALSE),0)</f>
        <v>0</v>
      </c>
      <c r="AV14" s="201">
        <f>IFERROR(VLOOKUP(AV$12,Assumptions!$B$29:$C$29,2,FALSE),0)</f>
        <v>0</v>
      </c>
      <c r="AW14" s="201">
        <f>IFERROR(VLOOKUP(AW$12,Assumptions!$B$29:$C$29,2,FALSE),0)</f>
        <v>0</v>
      </c>
      <c r="AX14" s="201">
        <f>IFERROR(VLOOKUP(AX$12,Assumptions!$B$29:$C$29,2,FALSE),0)</f>
        <v>0</v>
      </c>
      <c r="AY14" s="201">
        <f>IFERROR(VLOOKUP(AY$12,Assumptions!$B$29:$C$29,2,FALSE),0)</f>
        <v>0</v>
      </c>
      <c r="AZ14" s="201">
        <f>IFERROR(VLOOKUP(AZ$12,Assumptions!$B$29:$C$29,2,FALSE),0)</f>
        <v>0</v>
      </c>
      <c r="BA14" s="201">
        <f>IFERROR(VLOOKUP(BA$12,Assumptions!$B$29:$C$29,2,FALSE),0)</f>
        <v>0</v>
      </c>
      <c r="BB14" s="201">
        <f>IFERROR(VLOOKUP(BB$12,Assumptions!$B$29:$C$29,2,FALSE),0)</f>
        <v>0</v>
      </c>
      <c r="BC14" s="201">
        <f>IFERROR(VLOOKUP(BC$12,Assumptions!$B$29:$C$29,2,FALSE),0)</f>
        <v>0</v>
      </c>
      <c r="BD14" s="201">
        <f>IFERROR(VLOOKUP(BD$12,Assumptions!$B$29:$C$29,2,FALSE),0)</f>
        <v>0</v>
      </c>
      <c r="BE14" s="201">
        <f>IFERROR(VLOOKUP(BE$12,Assumptions!$B$29:$C$29,2,FALSE),0)</f>
        <v>0</v>
      </c>
      <c r="BF14" s="201">
        <f>IFERROR(VLOOKUP(BF$12,Assumptions!$B$29:$C$29,2,FALSE),0)</f>
        <v>0</v>
      </c>
      <c r="BG14" s="201">
        <f>IFERROR(VLOOKUP(BG$12,Assumptions!$B$29:$C$29,2,FALSE),0)</f>
        <v>0</v>
      </c>
      <c r="BH14" s="201">
        <f>IFERROR(VLOOKUP(BH$12,Assumptions!$B$29:$C$29,2,FALSE),0)</f>
        <v>0</v>
      </c>
      <c r="BI14" s="201">
        <f>IFERROR(VLOOKUP(BI$12,Assumptions!$B$29:$C$29,2,FALSE),0)</f>
        <v>0</v>
      </c>
      <c r="BJ14" s="201">
        <f>IFERROR(VLOOKUP(BJ$12,Assumptions!$B$29:$C$29,2,FALSE),0)</f>
        <v>0</v>
      </c>
    </row>
    <row r="15" spans="2:62" ht="15.6">
      <c r="B15" s="210" t="str">
        <f t="shared" si="7"/>
        <v>Shop Upgrades</v>
      </c>
      <c r="C15" s="201">
        <f>IFERROR(VLOOKUP(C$12,Assumptions!$B$30:$C$30,2,FALSE),0)</f>
        <v>0</v>
      </c>
      <c r="D15" s="201">
        <f>IFERROR(VLOOKUP(D$12,Assumptions!$B$30:$C$30,2,FALSE),0)</f>
        <v>0</v>
      </c>
      <c r="E15" s="201">
        <f>IFERROR(VLOOKUP(E$12,Assumptions!$B$30:$C$30,2,FALSE),0)</f>
        <v>0</v>
      </c>
      <c r="F15" s="201">
        <f>IFERROR(VLOOKUP(F$12,Assumptions!$B$30:$C$30,2,FALSE),0)</f>
        <v>0</v>
      </c>
      <c r="G15" s="201">
        <f>IFERROR(VLOOKUP(G$12,Assumptions!$B$30:$C$30,2,FALSE),0)</f>
        <v>0</v>
      </c>
      <c r="H15" s="201">
        <f>IFERROR(VLOOKUP(H$12,Assumptions!$B$30:$C$30,2,FALSE),0)</f>
        <v>0</v>
      </c>
      <c r="I15" s="201">
        <f>IFERROR(VLOOKUP(I$12,Assumptions!$B$30:$C$30,2,FALSE),0)</f>
        <v>0</v>
      </c>
      <c r="J15" s="201">
        <f>IFERROR(VLOOKUP(J$12,Assumptions!$B$30:$C$30,2,FALSE),0)</f>
        <v>0</v>
      </c>
      <c r="K15" s="201">
        <f>IFERROR(VLOOKUP(K$12,Assumptions!$B$30:$C$30,2,FALSE),0)</f>
        <v>0</v>
      </c>
      <c r="L15" s="201">
        <f>IFERROR(VLOOKUP(L$12,Assumptions!$B$30:$C$30,2,FALSE),0)</f>
        <v>0</v>
      </c>
      <c r="M15" s="201">
        <f>IFERROR(VLOOKUP(M$12,Assumptions!$B$30:$C$30,2,FALSE),0)</f>
        <v>0</v>
      </c>
      <c r="N15" s="201">
        <f>IFERROR(VLOOKUP(N$12,Assumptions!$B$30:$C$30,2,FALSE),0)</f>
        <v>0</v>
      </c>
      <c r="O15" s="201">
        <f>IFERROR(VLOOKUP(O$12,Assumptions!$B$30:$C$30,2,FALSE),0)</f>
        <v>0</v>
      </c>
      <c r="P15" s="201">
        <f>IFERROR(VLOOKUP(P$12,Assumptions!$B$30:$C$30,2,FALSE),0)</f>
        <v>0</v>
      </c>
      <c r="Q15" s="201">
        <f>IFERROR(VLOOKUP(Q$12,Assumptions!$B$30:$C$30,2,FALSE),0)</f>
        <v>0</v>
      </c>
      <c r="R15" s="201">
        <f>IFERROR(VLOOKUP(R$12,Assumptions!$B$30:$C$30,2,FALSE),0)</f>
        <v>0</v>
      </c>
      <c r="S15" s="201">
        <f>IFERROR(VLOOKUP(S$12,Assumptions!$B$30:$C$30,2,FALSE),0)</f>
        <v>0</v>
      </c>
      <c r="T15" s="201">
        <f>IFERROR(VLOOKUP(T$12,Assumptions!$B$30:$C$30,2,FALSE),0)</f>
        <v>0</v>
      </c>
      <c r="U15" s="201">
        <f>IFERROR(VLOOKUP(U$12,Assumptions!$B$30:$C$30,2,FALSE),0)</f>
        <v>0</v>
      </c>
      <c r="V15" s="201">
        <f>IFERROR(VLOOKUP(V$12,Assumptions!$B$30:$C$30,2,FALSE),0)</f>
        <v>0</v>
      </c>
      <c r="W15" s="201">
        <f>IFERROR(VLOOKUP(W$12,Assumptions!$B$30:$C$30,2,FALSE),0)</f>
        <v>0</v>
      </c>
      <c r="X15" s="201">
        <f>IFERROR(VLOOKUP(X$12,Assumptions!$B$30:$C$30,2,FALSE),0)</f>
        <v>0</v>
      </c>
      <c r="Y15" s="201">
        <f>IFERROR(VLOOKUP(Y$12,Assumptions!$B$30:$C$30,2,FALSE),0)</f>
        <v>0</v>
      </c>
      <c r="Z15" s="201">
        <f>IFERROR(VLOOKUP(Z$12,Assumptions!$B$30:$C$30,2,FALSE),0)</f>
        <v>0</v>
      </c>
      <c r="AA15" s="201">
        <f>IFERROR(VLOOKUP(AA$12,Assumptions!$B$30:$C$30,2,FALSE),0)</f>
        <v>0</v>
      </c>
      <c r="AB15" s="201">
        <f>IFERROR(VLOOKUP(AB$12,Assumptions!$B$30:$C$30,2,FALSE),0)</f>
        <v>0</v>
      </c>
      <c r="AC15" s="201">
        <f>IFERROR(VLOOKUP(AC$12,Assumptions!$B$30:$C$30,2,FALSE),0)</f>
        <v>0</v>
      </c>
      <c r="AD15" s="201">
        <f>IFERROR(VLOOKUP(AD$12,Assumptions!$B$30:$C$30,2,FALSE),0)</f>
        <v>0</v>
      </c>
      <c r="AE15" s="201">
        <f>IFERROR(VLOOKUP(AE$12,Assumptions!$B$30:$C$30,2,FALSE),0)</f>
        <v>0</v>
      </c>
      <c r="AF15" s="201">
        <f>IFERROR(VLOOKUP(AF$12,Assumptions!$B$30:$C$30,2,FALSE),0)</f>
        <v>0</v>
      </c>
      <c r="AG15" s="201">
        <f>IFERROR(VLOOKUP(AG$12,Assumptions!$B$30:$C$30,2,FALSE),0)</f>
        <v>0</v>
      </c>
      <c r="AH15" s="201">
        <f>IFERROR(VLOOKUP(AH$12,Assumptions!$B$30:$C$30,2,FALSE),0)</f>
        <v>0</v>
      </c>
      <c r="AI15" s="201">
        <f>IFERROR(VLOOKUP(AI$12,Assumptions!$B$30:$C$30,2,FALSE),0)</f>
        <v>0</v>
      </c>
      <c r="AJ15" s="201">
        <f>IFERROR(VLOOKUP(AJ$12,Assumptions!$B$30:$C$30,2,FALSE),0)</f>
        <v>0</v>
      </c>
      <c r="AK15" s="201">
        <f>IFERROR(VLOOKUP(AK$12,Assumptions!$B$30:$C$30,2,FALSE),0)</f>
        <v>0</v>
      </c>
      <c r="AL15" s="201">
        <f>IFERROR(VLOOKUP(AL$12,Assumptions!$B$30:$C$30,2,FALSE),0)</f>
        <v>0</v>
      </c>
      <c r="AM15" s="201">
        <f>IFERROR(VLOOKUP(AM$12,Assumptions!$B$30:$C$30,2,FALSE),0)</f>
        <v>0</v>
      </c>
      <c r="AN15" s="201">
        <f>IFERROR(VLOOKUP(AN$12,Assumptions!$B$30:$C$30,2,FALSE),0)</f>
        <v>0</v>
      </c>
      <c r="AO15" s="201">
        <f>IFERROR(VLOOKUP(AO$12,Assumptions!$B$30:$C$30,2,FALSE),0)</f>
        <v>0</v>
      </c>
      <c r="AP15" s="201">
        <f>IFERROR(VLOOKUP(AP$12,Assumptions!$B$30:$C$30,2,FALSE),0)</f>
        <v>0</v>
      </c>
      <c r="AQ15" s="201">
        <f>IFERROR(VLOOKUP(AQ$12,Assumptions!$B$30:$C$30,2,FALSE),0)</f>
        <v>0</v>
      </c>
      <c r="AR15" s="201">
        <f>IFERROR(VLOOKUP(AR$12,Assumptions!$B$30:$C$30,2,FALSE),0)</f>
        <v>0</v>
      </c>
      <c r="AS15" s="201">
        <f>IFERROR(VLOOKUP(AS$12,Assumptions!$B$30:$C$30,2,FALSE),0)</f>
        <v>0</v>
      </c>
      <c r="AT15" s="201">
        <f>IFERROR(VLOOKUP(AT$12,Assumptions!$B$30:$C$30,2,FALSE),0)</f>
        <v>0</v>
      </c>
      <c r="AU15" s="201">
        <f>IFERROR(VLOOKUP(AU$12,Assumptions!$B$30:$C$30,2,FALSE),0)</f>
        <v>0</v>
      </c>
      <c r="AV15" s="201">
        <f>IFERROR(VLOOKUP(AV$12,Assumptions!$B$30:$C$30,2,FALSE),0)</f>
        <v>0</v>
      </c>
      <c r="AW15" s="201">
        <f>IFERROR(VLOOKUP(AW$12,Assumptions!$B$30:$C$30,2,FALSE),0)</f>
        <v>0</v>
      </c>
      <c r="AX15" s="201">
        <f>IFERROR(VLOOKUP(AX$12,Assumptions!$B$30:$C$30,2,FALSE),0)</f>
        <v>0</v>
      </c>
      <c r="AY15" s="201">
        <f>IFERROR(VLOOKUP(AY$12,Assumptions!$B$30:$C$30,2,FALSE),0)</f>
        <v>0</v>
      </c>
      <c r="AZ15" s="201">
        <f>IFERROR(VLOOKUP(AZ$12,Assumptions!$B$30:$C$30,2,FALSE),0)</f>
        <v>0</v>
      </c>
      <c r="BA15" s="201">
        <f>IFERROR(VLOOKUP(BA$12,Assumptions!$B$30:$C$30,2,FALSE),0)</f>
        <v>0</v>
      </c>
      <c r="BB15" s="201">
        <f>IFERROR(VLOOKUP(BB$12,Assumptions!$B$30:$C$30,2,FALSE),0)</f>
        <v>0</v>
      </c>
      <c r="BC15" s="201">
        <f>IFERROR(VLOOKUP(BC$12,Assumptions!$B$30:$C$30,2,FALSE),0)</f>
        <v>0</v>
      </c>
      <c r="BD15" s="201">
        <f>IFERROR(VLOOKUP(BD$12,Assumptions!$B$30:$C$30,2,FALSE),0)</f>
        <v>0</v>
      </c>
      <c r="BE15" s="201">
        <f>IFERROR(VLOOKUP(BE$12,Assumptions!$B$30:$C$30,2,FALSE),0)</f>
        <v>0</v>
      </c>
      <c r="BF15" s="201">
        <f>IFERROR(VLOOKUP(BF$12,Assumptions!$B$30:$C$30,2,FALSE),0)</f>
        <v>0</v>
      </c>
      <c r="BG15" s="201">
        <f>IFERROR(VLOOKUP(BG$12,Assumptions!$B$30:$C$30,2,FALSE),0)</f>
        <v>0</v>
      </c>
      <c r="BH15" s="201">
        <f>IFERROR(VLOOKUP(BH$12,Assumptions!$B$30:$C$30,2,FALSE),0)</f>
        <v>0</v>
      </c>
      <c r="BI15" s="201">
        <f>IFERROR(VLOOKUP(BI$12,Assumptions!$B$30:$C$30,2,FALSE),0)</f>
        <v>0</v>
      </c>
      <c r="BJ15" s="201">
        <f>IFERROR(VLOOKUP(BJ$12,Assumptions!$B$30:$C$30,2,FALSE),0)</f>
        <v>0</v>
      </c>
    </row>
    <row r="16" spans="2:62" ht="15.6" hidden="1">
      <c r="B16" s="210" t="str">
        <f t="shared" si="7"/>
        <v/>
      </c>
      <c r="C16" s="201">
        <f>IFERROR(VLOOKUP(C$12,Assumptions!$B$31:$C$31,2,FALSE),0)</f>
        <v>0</v>
      </c>
      <c r="D16" s="201">
        <f>IFERROR(VLOOKUP(D$12,Assumptions!$B$31:$C$31,2,FALSE),0)</f>
        <v>0</v>
      </c>
      <c r="E16" s="201">
        <f>IFERROR(VLOOKUP(E$12,Assumptions!$B$31:$C$31,2,FALSE),0)</f>
        <v>0</v>
      </c>
      <c r="F16" s="201">
        <f>IFERROR(VLOOKUP(F$12,Assumptions!$B$31:$C$31,2,FALSE),0)</f>
        <v>0</v>
      </c>
      <c r="G16" s="201">
        <f>IFERROR(VLOOKUP(G$12,Assumptions!$B$31:$C$31,2,FALSE),0)</f>
        <v>0</v>
      </c>
      <c r="H16" s="201">
        <f>IFERROR(VLOOKUP(H$12,Assumptions!$B$31:$C$31,2,FALSE),0)</f>
        <v>0</v>
      </c>
      <c r="I16" s="201">
        <f>IFERROR(VLOOKUP(I$12,Assumptions!$B$31:$C$31,2,FALSE),0)</f>
        <v>0</v>
      </c>
      <c r="J16" s="201">
        <f>IFERROR(VLOOKUP(J$12,Assumptions!$B$31:$C$31,2,FALSE),0)</f>
        <v>0</v>
      </c>
      <c r="K16" s="201">
        <f>IFERROR(VLOOKUP(K$12,Assumptions!$B$31:$C$31,2,FALSE),0)</f>
        <v>0</v>
      </c>
      <c r="L16" s="201">
        <f>IFERROR(VLOOKUP(L$12,Assumptions!$B$31:$C$31,2,FALSE),0)</f>
        <v>0</v>
      </c>
      <c r="M16" s="201">
        <f>IFERROR(VLOOKUP(M$12,Assumptions!$B$31:$C$31,2,FALSE),0)</f>
        <v>0</v>
      </c>
      <c r="N16" s="201">
        <f>IFERROR(VLOOKUP(N$12,Assumptions!$B$31:$C$31,2,FALSE),0)</f>
        <v>0</v>
      </c>
      <c r="O16" s="201">
        <f>IFERROR(VLOOKUP(O$12,Assumptions!$B$31:$C$31,2,FALSE),0)</f>
        <v>0</v>
      </c>
      <c r="P16" s="201">
        <f>IFERROR(VLOOKUP(P$12,Assumptions!$B$31:$C$31,2,FALSE),0)</f>
        <v>0</v>
      </c>
      <c r="Q16" s="201">
        <f>IFERROR(VLOOKUP(Q$12,Assumptions!$B$31:$C$31,2,FALSE),0)</f>
        <v>0</v>
      </c>
      <c r="R16" s="201">
        <f>IFERROR(VLOOKUP(R$12,Assumptions!$B$31:$C$31,2,FALSE),0)</f>
        <v>0</v>
      </c>
      <c r="S16" s="201">
        <f>IFERROR(VLOOKUP(S$12,Assumptions!$B$31:$C$31,2,FALSE),0)</f>
        <v>0</v>
      </c>
      <c r="T16" s="201">
        <f>IFERROR(VLOOKUP(T$12,Assumptions!$B$31:$C$31,2,FALSE),0)</f>
        <v>0</v>
      </c>
      <c r="U16" s="201">
        <f>IFERROR(VLOOKUP(U$12,Assumptions!$B$31:$C$31,2,FALSE),0)</f>
        <v>0</v>
      </c>
      <c r="V16" s="201">
        <f>IFERROR(VLOOKUP(V$12,Assumptions!$B$31:$C$31,2,FALSE),0)</f>
        <v>0</v>
      </c>
      <c r="W16" s="201">
        <f>IFERROR(VLOOKUP(W$12,Assumptions!$B$31:$C$31,2,FALSE),0)</f>
        <v>0</v>
      </c>
      <c r="X16" s="201">
        <f>IFERROR(VLOOKUP(X$12,Assumptions!$B$31:$C$31,2,FALSE),0)</f>
        <v>0</v>
      </c>
      <c r="Y16" s="201">
        <f>IFERROR(VLOOKUP(Y$12,Assumptions!$B$31:$C$31,2,FALSE),0)</f>
        <v>0</v>
      </c>
      <c r="Z16" s="201">
        <f>IFERROR(VLOOKUP(Z$12,Assumptions!$B$31:$C$31,2,FALSE),0)</f>
        <v>0</v>
      </c>
      <c r="AA16" s="201">
        <f>IFERROR(VLOOKUP(AA$12,Assumptions!$B$31:$C$31,2,FALSE),0)</f>
        <v>0</v>
      </c>
      <c r="AB16" s="201">
        <f>IFERROR(VLOOKUP(AB$12,Assumptions!$B$31:$C$31,2,FALSE),0)</f>
        <v>0</v>
      </c>
      <c r="AC16" s="201">
        <f>IFERROR(VLOOKUP(AC$12,Assumptions!$B$31:$C$31,2,FALSE),0)</f>
        <v>0</v>
      </c>
      <c r="AD16" s="201">
        <f>IFERROR(VLOOKUP(AD$12,Assumptions!$B$31:$C$31,2,FALSE),0)</f>
        <v>0</v>
      </c>
      <c r="AE16" s="201">
        <f>IFERROR(VLOOKUP(AE$12,Assumptions!$B$31:$C$31,2,FALSE),0)</f>
        <v>0</v>
      </c>
      <c r="AF16" s="201">
        <f>IFERROR(VLOOKUP(AF$12,Assumptions!$B$31:$C$31,2,FALSE),0)</f>
        <v>0</v>
      </c>
      <c r="AG16" s="201">
        <f>IFERROR(VLOOKUP(AG$12,Assumptions!$B$31:$C$31,2,FALSE),0)</f>
        <v>0</v>
      </c>
      <c r="AH16" s="201">
        <f>IFERROR(VLOOKUP(AH$12,Assumptions!$B$31:$C$31,2,FALSE),0)</f>
        <v>0</v>
      </c>
      <c r="AI16" s="201">
        <f>IFERROR(VLOOKUP(AI$12,Assumptions!$B$31:$C$31,2,FALSE),0)</f>
        <v>0</v>
      </c>
      <c r="AJ16" s="201">
        <f>IFERROR(VLOOKUP(AJ$12,Assumptions!$B$31:$C$31,2,FALSE),0)</f>
        <v>0</v>
      </c>
      <c r="AK16" s="201">
        <f>IFERROR(VLOOKUP(AK$12,Assumptions!$B$31:$C$31,2,FALSE),0)</f>
        <v>0</v>
      </c>
      <c r="AL16" s="201">
        <f>IFERROR(VLOOKUP(AL$12,Assumptions!$B$31:$C$31,2,FALSE),0)</f>
        <v>0</v>
      </c>
      <c r="AM16" s="201">
        <f>IFERROR(VLOOKUP(AM$12,Assumptions!$B$31:$C$31,2,FALSE),0)</f>
        <v>0</v>
      </c>
      <c r="AN16" s="201">
        <f>IFERROR(VLOOKUP(AN$12,Assumptions!$B$31:$C$31,2,FALSE),0)</f>
        <v>0</v>
      </c>
      <c r="AO16" s="201">
        <f>IFERROR(VLOOKUP(AO$12,Assumptions!$B$31:$C$31,2,FALSE),0)</f>
        <v>0</v>
      </c>
      <c r="AP16" s="201">
        <f>IFERROR(VLOOKUP(AP$12,Assumptions!$B$31:$C$31,2,FALSE),0)</f>
        <v>0</v>
      </c>
      <c r="AQ16" s="201">
        <f>IFERROR(VLOOKUP(AQ$12,Assumptions!$B$31:$C$31,2,FALSE),0)</f>
        <v>0</v>
      </c>
      <c r="AR16" s="201">
        <f>IFERROR(VLOOKUP(AR$12,Assumptions!$B$31:$C$31,2,FALSE),0)</f>
        <v>0</v>
      </c>
      <c r="AS16" s="201">
        <f>IFERROR(VLOOKUP(AS$12,Assumptions!$B$31:$C$31,2,FALSE),0)</f>
        <v>0</v>
      </c>
      <c r="AT16" s="201">
        <f>IFERROR(VLOOKUP(AT$12,Assumptions!$B$31:$C$31,2,FALSE),0)</f>
        <v>0</v>
      </c>
      <c r="AU16" s="201">
        <f>IFERROR(VLOOKUP(AU$12,Assumptions!$B$31:$C$31,2,FALSE),0)</f>
        <v>0</v>
      </c>
      <c r="AV16" s="201">
        <f>IFERROR(VLOOKUP(AV$12,Assumptions!$B$31:$C$31,2,FALSE),0)</f>
        <v>0</v>
      </c>
      <c r="AW16" s="201">
        <f>IFERROR(VLOOKUP(AW$12,Assumptions!$B$31:$C$31,2,FALSE),0)</f>
        <v>0</v>
      </c>
      <c r="AX16" s="201">
        <f>IFERROR(VLOOKUP(AX$12,Assumptions!$B$31:$C$31,2,FALSE),0)</f>
        <v>0</v>
      </c>
      <c r="AY16" s="201">
        <f>IFERROR(VLOOKUP(AY$12,Assumptions!$B$31:$C$31,2,FALSE),0)</f>
        <v>0</v>
      </c>
      <c r="AZ16" s="201">
        <f>IFERROR(VLOOKUP(AZ$12,Assumptions!$B$31:$C$31,2,FALSE),0)</f>
        <v>0</v>
      </c>
      <c r="BA16" s="201">
        <f>IFERROR(VLOOKUP(BA$12,Assumptions!$B$31:$C$31,2,FALSE),0)</f>
        <v>0</v>
      </c>
      <c r="BB16" s="201">
        <f>IFERROR(VLOOKUP(BB$12,Assumptions!$B$31:$C$31,2,FALSE),0)</f>
        <v>0</v>
      </c>
      <c r="BC16" s="201">
        <f>IFERROR(VLOOKUP(BC$12,Assumptions!$B$31:$C$31,2,FALSE),0)</f>
        <v>0</v>
      </c>
      <c r="BD16" s="201">
        <f>IFERROR(VLOOKUP(BD$12,Assumptions!$B$31:$C$31,2,FALSE),0)</f>
        <v>0</v>
      </c>
      <c r="BE16" s="201">
        <f>IFERROR(VLOOKUP(BE$12,Assumptions!$B$31:$C$31,2,FALSE),0)</f>
        <v>0</v>
      </c>
      <c r="BF16" s="201">
        <f>IFERROR(VLOOKUP(BF$12,Assumptions!$B$31:$C$31,2,FALSE),0)</f>
        <v>0</v>
      </c>
      <c r="BG16" s="201">
        <f>IFERROR(VLOOKUP(BG$12,Assumptions!$B$31:$C$31,2,FALSE),0)</f>
        <v>0</v>
      </c>
      <c r="BH16" s="201">
        <f>IFERROR(VLOOKUP(BH$12,Assumptions!$B$31:$C$31,2,FALSE),0)</f>
        <v>0</v>
      </c>
      <c r="BI16" s="201">
        <f>IFERROR(VLOOKUP(BI$12,Assumptions!$B$31:$C$31,2,FALSE),0)</f>
        <v>0</v>
      </c>
      <c r="BJ16" s="201">
        <f>IFERROR(VLOOKUP(BJ$12,Assumptions!$B$31:$C$31,2,FALSE),0)</f>
        <v>0</v>
      </c>
    </row>
    <row r="17" spans="2:62" ht="15.6" hidden="1">
      <c r="B17" s="210" t="str">
        <f t="shared" si="7"/>
        <v/>
      </c>
      <c r="C17" s="201">
        <f>IFERROR(VLOOKUP(C$12,Assumptions!$B$32:$C$32,2,FALSE),0)</f>
        <v>0</v>
      </c>
      <c r="D17" s="201">
        <f>IFERROR(VLOOKUP(D$12,Assumptions!$B$32:$C$32,2,FALSE),0)</f>
        <v>0</v>
      </c>
      <c r="E17" s="201">
        <f>IFERROR(VLOOKUP(E$12,Assumptions!$B$32:$C$32,2,FALSE),0)</f>
        <v>0</v>
      </c>
      <c r="F17" s="201">
        <f>IFERROR(VLOOKUP(F$12,Assumptions!$B$32:$C$32,2,FALSE),0)</f>
        <v>0</v>
      </c>
      <c r="G17" s="201">
        <f>IFERROR(VLOOKUP(G$12,Assumptions!$B$32:$C$32,2,FALSE),0)</f>
        <v>0</v>
      </c>
      <c r="H17" s="201">
        <f>IFERROR(VLOOKUP(H$12,Assumptions!$B$32:$C$32,2,FALSE),0)</f>
        <v>0</v>
      </c>
      <c r="I17" s="201">
        <f>IFERROR(VLOOKUP(I$12,Assumptions!$B$32:$C$32,2,FALSE),0)</f>
        <v>0</v>
      </c>
      <c r="J17" s="201">
        <f>IFERROR(VLOOKUP(J$12,Assumptions!$B$32:$C$32,2,FALSE),0)</f>
        <v>0</v>
      </c>
      <c r="K17" s="201">
        <f>IFERROR(VLOOKUP(K$12,Assumptions!$B$32:$C$32,2,FALSE),0)</f>
        <v>0</v>
      </c>
      <c r="L17" s="201">
        <f>IFERROR(VLOOKUP(L$12,Assumptions!$B$32:$C$32,2,FALSE),0)</f>
        <v>0</v>
      </c>
      <c r="M17" s="201">
        <f>IFERROR(VLOOKUP(M$12,Assumptions!$B$32:$C$32,2,FALSE),0)</f>
        <v>0</v>
      </c>
      <c r="N17" s="201">
        <f>IFERROR(VLOOKUP(N$12,Assumptions!$B$32:$C$32,2,FALSE),0)</f>
        <v>0</v>
      </c>
      <c r="O17" s="201">
        <f>IFERROR(VLOOKUP(O$12,Assumptions!$B$32:$C$32,2,FALSE),0)</f>
        <v>0</v>
      </c>
      <c r="P17" s="201">
        <f>IFERROR(VLOOKUP(P$12,Assumptions!$B$32:$C$32,2,FALSE),0)</f>
        <v>0</v>
      </c>
      <c r="Q17" s="201">
        <f>IFERROR(VLOOKUP(Q$12,Assumptions!$B$32:$C$32,2,FALSE),0)</f>
        <v>0</v>
      </c>
      <c r="R17" s="201">
        <f>IFERROR(VLOOKUP(R$12,Assumptions!$B$32:$C$32,2,FALSE),0)</f>
        <v>0</v>
      </c>
      <c r="S17" s="201">
        <f>IFERROR(VLOOKUP(S$12,Assumptions!$B$32:$C$32,2,FALSE),0)</f>
        <v>0</v>
      </c>
      <c r="T17" s="201">
        <f>IFERROR(VLOOKUP(T$12,Assumptions!$B$32:$C$32,2,FALSE),0)</f>
        <v>0</v>
      </c>
      <c r="U17" s="201">
        <f>IFERROR(VLOOKUP(U$12,Assumptions!$B$32:$C$32,2,FALSE),0)</f>
        <v>0</v>
      </c>
      <c r="V17" s="201">
        <f>IFERROR(VLOOKUP(V$12,Assumptions!$B$32:$C$32,2,FALSE),0)</f>
        <v>0</v>
      </c>
      <c r="W17" s="201">
        <f>IFERROR(VLOOKUP(W$12,Assumptions!$B$32:$C$32,2,FALSE),0)</f>
        <v>0</v>
      </c>
      <c r="X17" s="201">
        <f>IFERROR(VLOOKUP(X$12,Assumptions!$B$32:$C$32,2,FALSE),0)</f>
        <v>0</v>
      </c>
      <c r="Y17" s="201">
        <f>IFERROR(VLOOKUP(Y$12,Assumptions!$B$32:$C$32,2,FALSE),0)</f>
        <v>0</v>
      </c>
      <c r="Z17" s="201">
        <f>IFERROR(VLOOKUP(Z$12,Assumptions!$B$32:$C$32,2,FALSE),0)</f>
        <v>0</v>
      </c>
      <c r="AA17" s="201">
        <f>IFERROR(VLOOKUP(AA$12,Assumptions!$B$32:$C$32,2,FALSE),0)</f>
        <v>0</v>
      </c>
      <c r="AB17" s="201">
        <f>IFERROR(VLOOKUP(AB$12,Assumptions!$B$32:$C$32,2,FALSE),0)</f>
        <v>0</v>
      </c>
      <c r="AC17" s="201">
        <f>IFERROR(VLOOKUP(AC$12,Assumptions!$B$32:$C$32,2,FALSE),0)</f>
        <v>0</v>
      </c>
      <c r="AD17" s="201">
        <f>IFERROR(VLOOKUP(AD$12,Assumptions!$B$32:$C$32,2,FALSE),0)</f>
        <v>0</v>
      </c>
      <c r="AE17" s="201">
        <f>IFERROR(VLOOKUP(AE$12,Assumptions!$B$32:$C$32,2,FALSE),0)</f>
        <v>0</v>
      </c>
      <c r="AF17" s="201">
        <f>IFERROR(VLOOKUP(AF$12,Assumptions!$B$32:$C$32,2,FALSE),0)</f>
        <v>0</v>
      </c>
      <c r="AG17" s="201">
        <f>IFERROR(VLOOKUP(AG$12,Assumptions!$B$32:$C$32,2,FALSE),0)</f>
        <v>0</v>
      </c>
      <c r="AH17" s="201">
        <f>IFERROR(VLOOKUP(AH$12,Assumptions!$B$32:$C$32,2,FALSE),0)</f>
        <v>0</v>
      </c>
      <c r="AI17" s="201">
        <f>IFERROR(VLOOKUP(AI$12,Assumptions!$B$32:$C$32,2,FALSE),0)</f>
        <v>0</v>
      </c>
      <c r="AJ17" s="201">
        <f>IFERROR(VLOOKUP(AJ$12,Assumptions!$B$32:$C$32,2,FALSE),0)</f>
        <v>0</v>
      </c>
      <c r="AK17" s="201">
        <f>IFERROR(VLOOKUP(AK$12,Assumptions!$B$32:$C$32,2,FALSE),0)</f>
        <v>0</v>
      </c>
      <c r="AL17" s="201">
        <f>IFERROR(VLOOKUP(AL$12,Assumptions!$B$32:$C$32,2,FALSE),0)</f>
        <v>0</v>
      </c>
      <c r="AM17" s="201">
        <f>IFERROR(VLOOKUP(AM$12,Assumptions!$B$32:$C$32,2,FALSE),0)</f>
        <v>0</v>
      </c>
      <c r="AN17" s="201">
        <f>IFERROR(VLOOKUP(AN$12,Assumptions!$B$32:$C$32,2,FALSE),0)</f>
        <v>0</v>
      </c>
      <c r="AO17" s="201">
        <f>IFERROR(VLOOKUP(AO$12,Assumptions!$B$32:$C$32,2,FALSE),0)</f>
        <v>0</v>
      </c>
      <c r="AP17" s="201">
        <f>IFERROR(VLOOKUP(AP$12,Assumptions!$B$32:$C$32,2,FALSE),0)</f>
        <v>0</v>
      </c>
      <c r="AQ17" s="201">
        <f>IFERROR(VLOOKUP(AQ$12,Assumptions!$B$32:$C$32,2,FALSE),0)</f>
        <v>0</v>
      </c>
      <c r="AR17" s="201">
        <f>IFERROR(VLOOKUP(AR$12,Assumptions!$B$32:$C$32,2,FALSE),0)</f>
        <v>0</v>
      </c>
      <c r="AS17" s="201">
        <f>IFERROR(VLOOKUP(AS$12,Assumptions!$B$32:$C$32,2,FALSE),0)</f>
        <v>0</v>
      </c>
      <c r="AT17" s="201">
        <f>IFERROR(VLOOKUP(AT$12,Assumptions!$B$32:$C$32,2,FALSE),0)</f>
        <v>0</v>
      </c>
      <c r="AU17" s="201">
        <f>IFERROR(VLOOKUP(AU$12,Assumptions!$B$32:$C$32,2,FALSE),0)</f>
        <v>0</v>
      </c>
      <c r="AV17" s="201">
        <f>IFERROR(VLOOKUP(AV$12,Assumptions!$B$32:$C$32,2,FALSE),0)</f>
        <v>0</v>
      </c>
      <c r="AW17" s="201">
        <f>IFERROR(VLOOKUP(AW$12,Assumptions!$B$32:$C$32,2,FALSE),0)</f>
        <v>0</v>
      </c>
      <c r="AX17" s="201">
        <f>IFERROR(VLOOKUP(AX$12,Assumptions!$B$32:$C$32,2,FALSE),0)</f>
        <v>0</v>
      </c>
      <c r="AY17" s="201">
        <f>IFERROR(VLOOKUP(AY$12,Assumptions!$B$32:$C$32,2,FALSE),0)</f>
        <v>0</v>
      </c>
      <c r="AZ17" s="201">
        <f>IFERROR(VLOOKUP(AZ$12,Assumptions!$B$32:$C$32,2,FALSE),0)</f>
        <v>0</v>
      </c>
      <c r="BA17" s="201">
        <f>IFERROR(VLOOKUP(BA$12,Assumptions!$B$32:$C$32,2,FALSE),0)</f>
        <v>0</v>
      </c>
      <c r="BB17" s="201">
        <f>IFERROR(VLOOKUP(BB$12,Assumptions!$B$32:$C$32,2,FALSE),0)</f>
        <v>0</v>
      </c>
      <c r="BC17" s="201">
        <f>IFERROR(VLOOKUP(BC$12,Assumptions!$B$32:$C$32,2,FALSE),0)</f>
        <v>0</v>
      </c>
      <c r="BD17" s="201">
        <f>IFERROR(VLOOKUP(BD$12,Assumptions!$B$32:$C$32,2,FALSE),0)</f>
        <v>0</v>
      </c>
      <c r="BE17" s="201">
        <f>IFERROR(VLOOKUP(BE$12,Assumptions!$B$32:$C$32,2,FALSE),0)</f>
        <v>0</v>
      </c>
      <c r="BF17" s="201">
        <f>IFERROR(VLOOKUP(BF$12,Assumptions!$B$32:$C$32,2,FALSE),0)</f>
        <v>0</v>
      </c>
      <c r="BG17" s="201">
        <f>IFERROR(VLOOKUP(BG$12,Assumptions!$B$32:$C$32,2,FALSE),0)</f>
        <v>0</v>
      </c>
      <c r="BH17" s="201">
        <f>IFERROR(VLOOKUP(BH$12,Assumptions!$B$32:$C$32,2,FALSE),0)</f>
        <v>0</v>
      </c>
      <c r="BI17" s="201">
        <f>IFERROR(VLOOKUP(BI$12,Assumptions!$B$32:$C$32,2,FALSE),0)</f>
        <v>0</v>
      </c>
      <c r="BJ17" s="201">
        <f>IFERROR(VLOOKUP(BJ$12,Assumptions!$B$32:$C$32,2,FALSE),0)</f>
        <v>0</v>
      </c>
    </row>
    <row r="18" spans="2:62" ht="15.6" hidden="1">
      <c r="B18" s="210"/>
      <c r="C18" s="201"/>
      <c r="D18" s="201"/>
      <c r="E18" s="201"/>
      <c r="F18" s="201"/>
      <c r="G18" s="201"/>
      <c r="H18" s="201"/>
      <c r="I18" s="201"/>
      <c r="J18" s="201"/>
      <c r="K18" s="201"/>
      <c r="L18" s="201"/>
      <c r="M18" s="201"/>
      <c r="N18" s="201"/>
      <c r="O18" s="201"/>
      <c r="P18" s="201"/>
      <c r="Q18" s="201"/>
      <c r="R18" s="201"/>
      <c r="S18" s="201"/>
      <c r="T18" s="201"/>
      <c r="U18" s="201"/>
      <c r="V18" s="201"/>
      <c r="W18" s="201"/>
      <c r="X18" s="201"/>
      <c r="Y18" s="201"/>
      <c r="Z18" s="201"/>
      <c r="AA18" s="201"/>
      <c r="AB18" s="201"/>
      <c r="AC18" s="201"/>
      <c r="AD18" s="201"/>
      <c r="AE18" s="201"/>
      <c r="AF18" s="201"/>
      <c r="AG18" s="201"/>
      <c r="AH18" s="201"/>
      <c r="AI18" s="201"/>
      <c r="AJ18" s="201"/>
      <c r="AK18" s="201"/>
      <c r="AL18" s="201"/>
      <c r="AM18" s="201"/>
      <c r="AN18" s="201"/>
      <c r="AO18" s="201"/>
      <c r="AP18" s="201"/>
      <c r="AQ18" s="201"/>
      <c r="AR18" s="201"/>
      <c r="AS18" s="201"/>
      <c r="AT18" s="201"/>
      <c r="AU18" s="201"/>
      <c r="AV18" s="201"/>
      <c r="AW18" s="201"/>
      <c r="AX18" s="201"/>
      <c r="AY18" s="201"/>
      <c r="AZ18" s="201"/>
      <c r="BA18" s="201"/>
      <c r="BB18" s="201"/>
      <c r="BC18" s="201"/>
      <c r="BD18" s="201"/>
      <c r="BE18" s="201"/>
      <c r="BF18" s="201"/>
      <c r="BG18" s="201"/>
      <c r="BH18" s="201"/>
      <c r="BI18" s="201"/>
      <c r="BJ18" s="201"/>
    </row>
    <row r="19" spans="2:62" ht="15.6">
      <c r="B19" s="94" t="s">
        <v>26</v>
      </c>
      <c r="C19" s="209">
        <f>SUM(C13:C18)</f>
        <v>0</v>
      </c>
      <c r="D19" s="209">
        <f t="shared" ref="D19:BJ19" si="8">SUM(D13:D18)</f>
        <v>0</v>
      </c>
      <c r="E19" s="209">
        <f t="shared" si="8"/>
        <v>0</v>
      </c>
      <c r="F19" s="209">
        <f t="shared" si="8"/>
        <v>0</v>
      </c>
      <c r="G19" s="209">
        <f t="shared" si="8"/>
        <v>0</v>
      </c>
      <c r="H19" s="209">
        <f t="shared" si="8"/>
        <v>0</v>
      </c>
      <c r="I19" s="209">
        <f t="shared" si="8"/>
        <v>0</v>
      </c>
      <c r="J19" s="209">
        <f t="shared" si="8"/>
        <v>0</v>
      </c>
      <c r="K19" s="209">
        <f t="shared" si="8"/>
        <v>0</v>
      </c>
      <c r="L19" s="209">
        <f t="shared" si="8"/>
        <v>0</v>
      </c>
      <c r="M19" s="209">
        <f t="shared" si="8"/>
        <v>0</v>
      </c>
      <c r="N19" s="209">
        <f t="shared" si="8"/>
        <v>0</v>
      </c>
      <c r="O19" s="209">
        <f t="shared" si="8"/>
        <v>0</v>
      </c>
      <c r="P19" s="209">
        <f t="shared" si="8"/>
        <v>0</v>
      </c>
      <c r="Q19" s="209">
        <f t="shared" si="8"/>
        <v>0</v>
      </c>
      <c r="R19" s="209">
        <f t="shared" si="8"/>
        <v>0</v>
      </c>
      <c r="S19" s="209">
        <f t="shared" si="8"/>
        <v>0</v>
      </c>
      <c r="T19" s="209">
        <f t="shared" si="8"/>
        <v>0</v>
      </c>
      <c r="U19" s="209">
        <f t="shared" si="8"/>
        <v>0</v>
      </c>
      <c r="V19" s="209">
        <f t="shared" si="8"/>
        <v>0</v>
      </c>
      <c r="W19" s="209">
        <f t="shared" si="8"/>
        <v>0</v>
      </c>
      <c r="X19" s="209">
        <f t="shared" si="8"/>
        <v>0</v>
      </c>
      <c r="Y19" s="209">
        <f t="shared" si="8"/>
        <v>0</v>
      </c>
      <c r="Z19" s="209">
        <f t="shared" si="8"/>
        <v>0</v>
      </c>
      <c r="AA19" s="209">
        <f t="shared" si="8"/>
        <v>0</v>
      </c>
      <c r="AB19" s="209">
        <f t="shared" si="8"/>
        <v>0</v>
      </c>
      <c r="AC19" s="209">
        <f t="shared" si="8"/>
        <v>0</v>
      </c>
      <c r="AD19" s="209">
        <f t="shared" si="8"/>
        <v>0</v>
      </c>
      <c r="AE19" s="209">
        <f t="shared" si="8"/>
        <v>0</v>
      </c>
      <c r="AF19" s="209">
        <f t="shared" si="8"/>
        <v>0</v>
      </c>
      <c r="AG19" s="209">
        <f t="shared" si="8"/>
        <v>0</v>
      </c>
      <c r="AH19" s="209">
        <f t="shared" si="8"/>
        <v>0</v>
      </c>
      <c r="AI19" s="209">
        <f t="shared" si="8"/>
        <v>0</v>
      </c>
      <c r="AJ19" s="209">
        <f t="shared" si="8"/>
        <v>0</v>
      </c>
      <c r="AK19" s="209">
        <f t="shared" si="8"/>
        <v>0</v>
      </c>
      <c r="AL19" s="209">
        <f t="shared" si="8"/>
        <v>0</v>
      </c>
      <c r="AM19" s="209">
        <f t="shared" si="8"/>
        <v>0</v>
      </c>
      <c r="AN19" s="209">
        <f t="shared" si="8"/>
        <v>0</v>
      </c>
      <c r="AO19" s="209">
        <f t="shared" si="8"/>
        <v>0</v>
      </c>
      <c r="AP19" s="209">
        <f t="shared" si="8"/>
        <v>0</v>
      </c>
      <c r="AQ19" s="209">
        <f t="shared" si="8"/>
        <v>0</v>
      </c>
      <c r="AR19" s="209">
        <f t="shared" si="8"/>
        <v>0</v>
      </c>
      <c r="AS19" s="209">
        <f t="shared" si="8"/>
        <v>0</v>
      </c>
      <c r="AT19" s="209">
        <f t="shared" si="8"/>
        <v>0</v>
      </c>
      <c r="AU19" s="209">
        <f t="shared" si="8"/>
        <v>0</v>
      </c>
      <c r="AV19" s="209">
        <f t="shared" si="8"/>
        <v>0</v>
      </c>
      <c r="AW19" s="209">
        <f t="shared" si="8"/>
        <v>0</v>
      </c>
      <c r="AX19" s="209">
        <f t="shared" si="8"/>
        <v>0</v>
      </c>
      <c r="AY19" s="209">
        <f t="shared" si="8"/>
        <v>0</v>
      </c>
      <c r="AZ19" s="209">
        <f t="shared" si="8"/>
        <v>0</v>
      </c>
      <c r="BA19" s="209">
        <f t="shared" si="8"/>
        <v>0</v>
      </c>
      <c r="BB19" s="209">
        <f t="shared" si="8"/>
        <v>0</v>
      </c>
      <c r="BC19" s="209">
        <f t="shared" si="8"/>
        <v>0</v>
      </c>
      <c r="BD19" s="209">
        <f t="shared" si="8"/>
        <v>0</v>
      </c>
      <c r="BE19" s="209">
        <f t="shared" si="8"/>
        <v>0</v>
      </c>
      <c r="BF19" s="209">
        <f t="shared" si="8"/>
        <v>0</v>
      </c>
      <c r="BG19" s="209">
        <f t="shared" si="8"/>
        <v>0</v>
      </c>
      <c r="BH19" s="209">
        <f t="shared" si="8"/>
        <v>0</v>
      </c>
      <c r="BI19" s="209">
        <f t="shared" si="8"/>
        <v>0</v>
      </c>
      <c r="BJ19" s="209">
        <f t="shared" si="8"/>
        <v>0</v>
      </c>
    </row>
    <row r="22" spans="2:62" ht="17.399999999999999">
      <c r="B22" s="102" t="s">
        <v>107</v>
      </c>
      <c r="C22" s="171" t="s">
        <v>15</v>
      </c>
      <c r="D22" s="171" t="s">
        <v>41</v>
      </c>
      <c r="E22" s="171" t="s">
        <v>42</v>
      </c>
      <c r="F22" s="171" t="s">
        <v>43</v>
      </c>
      <c r="G22" s="171" t="s">
        <v>44</v>
      </c>
      <c r="H22" s="171" t="s">
        <v>45</v>
      </c>
      <c r="I22" s="171" t="s">
        <v>46</v>
      </c>
      <c r="J22" s="171" t="s">
        <v>47</v>
      </c>
      <c r="K22" s="171" t="s">
        <v>48</v>
      </c>
      <c r="L22" s="171" t="s">
        <v>49</v>
      </c>
      <c r="M22" s="171" t="s">
        <v>50</v>
      </c>
      <c r="N22" s="171" t="s">
        <v>51</v>
      </c>
      <c r="O22" s="171" t="s">
        <v>20</v>
      </c>
      <c r="P22" s="171" t="s">
        <v>52</v>
      </c>
      <c r="Q22" s="171" t="s">
        <v>53</v>
      </c>
      <c r="R22" s="171" t="s">
        <v>54</v>
      </c>
      <c r="S22" s="171" t="s">
        <v>55</v>
      </c>
      <c r="T22" s="171" t="s">
        <v>56</v>
      </c>
      <c r="U22" s="171" t="s">
        <v>57</v>
      </c>
      <c r="V22" s="171" t="s">
        <v>58</v>
      </c>
      <c r="W22" s="171" t="s">
        <v>59</v>
      </c>
      <c r="X22" s="171" t="s">
        <v>60</v>
      </c>
      <c r="Y22" s="171" t="s">
        <v>61</v>
      </c>
      <c r="Z22" s="171" t="s">
        <v>62</v>
      </c>
      <c r="AA22" s="171" t="s">
        <v>63</v>
      </c>
      <c r="AB22" s="171" t="s">
        <v>64</v>
      </c>
      <c r="AC22" s="171" t="s">
        <v>65</v>
      </c>
      <c r="AD22" s="171" t="s">
        <v>66</v>
      </c>
      <c r="AE22" s="171" t="s">
        <v>67</v>
      </c>
      <c r="AF22" s="171" t="s">
        <v>68</v>
      </c>
      <c r="AG22" s="171" t="s">
        <v>69</v>
      </c>
      <c r="AH22" s="171" t="s">
        <v>70</v>
      </c>
      <c r="AI22" s="171" t="s">
        <v>71</v>
      </c>
      <c r="AJ22" s="171" t="s">
        <v>72</v>
      </c>
      <c r="AK22" s="171" t="s">
        <v>73</v>
      </c>
      <c r="AL22" s="171" t="s">
        <v>74</v>
      </c>
      <c r="AM22" s="171" t="s">
        <v>75</v>
      </c>
      <c r="AN22" s="171" t="s">
        <v>76</v>
      </c>
      <c r="AO22" s="171" t="s">
        <v>77</v>
      </c>
      <c r="AP22" s="171" t="s">
        <v>78</v>
      </c>
      <c r="AQ22" s="171" t="s">
        <v>79</v>
      </c>
      <c r="AR22" s="171" t="s">
        <v>80</v>
      </c>
      <c r="AS22" s="171" t="s">
        <v>81</v>
      </c>
      <c r="AT22" s="171" t="s">
        <v>82</v>
      </c>
      <c r="AU22" s="171" t="s">
        <v>83</v>
      </c>
      <c r="AV22" s="171" t="s">
        <v>84</v>
      </c>
      <c r="AW22" s="171" t="s">
        <v>85</v>
      </c>
      <c r="AX22" s="171" t="s">
        <v>86</v>
      </c>
      <c r="AY22" s="171" t="s">
        <v>87</v>
      </c>
      <c r="AZ22" s="171" t="s">
        <v>88</v>
      </c>
      <c r="BA22" s="171" t="s">
        <v>89</v>
      </c>
      <c r="BB22" s="171" t="s">
        <v>90</v>
      </c>
      <c r="BC22" s="171" t="s">
        <v>91</v>
      </c>
      <c r="BD22" s="171" t="s">
        <v>92</v>
      </c>
      <c r="BE22" s="171" t="s">
        <v>93</v>
      </c>
      <c r="BF22" s="171" t="s">
        <v>94</v>
      </c>
      <c r="BG22" s="171" t="s">
        <v>95</v>
      </c>
      <c r="BH22" s="171" t="s">
        <v>96</v>
      </c>
      <c r="BI22" s="171" t="s">
        <v>97</v>
      </c>
      <c r="BJ22" s="171" t="s">
        <v>98</v>
      </c>
    </row>
    <row r="23" spans="2:62" ht="15.6">
      <c r="B23" s="210" t="str">
        <f>B13</f>
        <v>Metal Fabrication Shop Acquisition</v>
      </c>
      <c r="C23" s="201">
        <f>C3+C13</f>
        <v>2000000</v>
      </c>
      <c r="D23" s="201">
        <f>C23+D13</f>
        <v>2000000</v>
      </c>
      <c r="E23" s="201">
        <f t="shared" ref="E23:BJ23" si="9">D23+E13</f>
        <v>2000000</v>
      </c>
      <c r="F23" s="201">
        <f t="shared" si="9"/>
        <v>2000000</v>
      </c>
      <c r="G23" s="201">
        <f t="shared" si="9"/>
        <v>2000000</v>
      </c>
      <c r="H23" s="201">
        <f t="shared" si="9"/>
        <v>2000000</v>
      </c>
      <c r="I23" s="201">
        <f t="shared" si="9"/>
        <v>2000000</v>
      </c>
      <c r="J23" s="201">
        <f t="shared" si="9"/>
        <v>2000000</v>
      </c>
      <c r="K23" s="201">
        <f t="shared" si="9"/>
        <v>2000000</v>
      </c>
      <c r="L23" s="201">
        <f t="shared" si="9"/>
        <v>2000000</v>
      </c>
      <c r="M23" s="201">
        <f t="shared" si="9"/>
        <v>2000000</v>
      </c>
      <c r="N23" s="201">
        <f t="shared" si="9"/>
        <v>2000000</v>
      </c>
      <c r="O23" s="201">
        <f t="shared" si="9"/>
        <v>2000000</v>
      </c>
      <c r="P23" s="201">
        <f t="shared" si="9"/>
        <v>2000000</v>
      </c>
      <c r="Q23" s="201">
        <f t="shared" si="9"/>
        <v>2000000</v>
      </c>
      <c r="R23" s="201">
        <f t="shared" si="9"/>
        <v>2000000</v>
      </c>
      <c r="S23" s="201">
        <f t="shared" si="9"/>
        <v>2000000</v>
      </c>
      <c r="T23" s="201">
        <f t="shared" si="9"/>
        <v>2000000</v>
      </c>
      <c r="U23" s="201">
        <f t="shared" si="9"/>
        <v>2000000</v>
      </c>
      <c r="V23" s="201">
        <f t="shared" si="9"/>
        <v>2000000</v>
      </c>
      <c r="W23" s="201">
        <f t="shared" si="9"/>
        <v>2000000</v>
      </c>
      <c r="X23" s="201">
        <f t="shared" si="9"/>
        <v>2000000</v>
      </c>
      <c r="Y23" s="201">
        <f t="shared" si="9"/>
        <v>2000000</v>
      </c>
      <c r="Z23" s="201">
        <f t="shared" si="9"/>
        <v>2000000</v>
      </c>
      <c r="AA23" s="201">
        <f t="shared" si="9"/>
        <v>2000000</v>
      </c>
      <c r="AB23" s="201">
        <f t="shared" si="9"/>
        <v>2000000</v>
      </c>
      <c r="AC23" s="201">
        <f t="shared" si="9"/>
        <v>2000000</v>
      </c>
      <c r="AD23" s="201">
        <f t="shared" si="9"/>
        <v>2000000</v>
      </c>
      <c r="AE23" s="201">
        <f t="shared" si="9"/>
        <v>2000000</v>
      </c>
      <c r="AF23" s="201">
        <f t="shared" si="9"/>
        <v>2000000</v>
      </c>
      <c r="AG23" s="201">
        <f t="shared" si="9"/>
        <v>2000000</v>
      </c>
      <c r="AH23" s="201">
        <f t="shared" si="9"/>
        <v>2000000</v>
      </c>
      <c r="AI23" s="201">
        <f t="shared" si="9"/>
        <v>2000000</v>
      </c>
      <c r="AJ23" s="201">
        <f t="shared" si="9"/>
        <v>2000000</v>
      </c>
      <c r="AK23" s="201">
        <f t="shared" si="9"/>
        <v>2000000</v>
      </c>
      <c r="AL23" s="201">
        <f t="shared" si="9"/>
        <v>2000000</v>
      </c>
      <c r="AM23" s="201">
        <f t="shared" si="9"/>
        <v>2000000</v>
      </c>
      <c r="AN23" s="201">
        <f t="shared" si="9"/>
        <v>2000000</v>
      </c>
      <c r="AO23" s="201">
        <f t="shared" si="9"/>
        <v>2000000</v>
      </c>
      <c r="AP23" s="201">
        <f t="shared" si="9"/>
        <v>2000000</v>
      </c>
      <c r="AQ23" s="201">
        <f t="shared" si="9"/>
        <v>2000000</v>
      </c>
      <c r="AR23" s="201">
        <f t="shared" si="9"/>
        <v>2000000</v>
      </c>
      <c r="AS23" s="201">
        <f t="shared" si="9"/>
        <v>2000000</v>
      </c>
      <c r="AT23" s="201">
        <f t="shared" si="9"/>
        <v>2000000</v>
      </c>
      <c r="AU23" s="201">
        <f t="shared" si="9"/>
        <v>2000000</v>
      </c>
      <c r="AV23" s="201">
        <f t="shared" si="9"/>
        <v>2000000</v>
      </c>
      <c r="AW23" s="201">
        <f t="shared" si="9"/>
        <v>2000000</v>
      </c>
      <c r="AX23" s="201">
        <f t="shared" si="9"/>
        <v>2000000</v>
      </c>
      <c r="AY23" s="201">
        <f t="shared" si="9"/>
        <v>2000000</v>
      </c>
      <c r="AZ23" s="201">
        <f t="shared" si="9"/>
        <v>2000000</v>
      </c>
      <c r="BA23" s="201">
        <f t="shared" si="9"/>
        <v>2000000</v>
      </c>
      <c r="BB23" s="201">
        <f t="shared" si="9"/>
        <v>2000000</v>
      </c>
      <c r="BC23" s="201">
        <f t="shared" si="9"/>
        <v>2000000</v>
      </c>
      <c r="BD23" s="201">
        <f t="shared" si="9"/>
        <v>2000000</v>
      </c>
      <c r="BE23" s="201">
        <f t="shared" si="9"/>
        <v>2000000</v>
      </c>
      <c r="BF23" s="201">
        <f t="shared" si="9"/>
        <v>2000000</v>
      </c>
      <c r="BG23" s="201">
        <f t="shared" si="9"/>
        <v>2000000</v>
      </c>
      <c r="BH23" s="201">
        <f t="shared" si="9"/>
        <v>2000000</v>
      </c>
      <c r="BI23" s="201">
        <f t="shared" si="9"/>
        <v>2000000</v>
      </c>
      <c r="BJ23" s="201">
        <f t="shared" si="9"/>
        <v>2000000</v>
      </c>
    </row>
    <row r="24" spans="2:62" ht="15.6">
      <c r="B24" s="210" t="str">
        <f t="shared" ref="B24:B27" si="10">B14</f>
        <v>R&amp;D Surveillance System</v>
      </c>
      <c r="C24" s="201">
        <f t="shared" ref="C24:C27" si="11">C4+C14</f>
        <v>1500000</v>
      </c>
      <c r="D24" s="201">
        <f t="shared" ref="D24:BJ24" si="12">C24+D14</f>
        <v>1500000</v>
      </c>
      <c r="E24" s="201">
        <f t="shared" si="12"/>
        <v>1500000</v>
      </c>
      <c r="F24" s="201">
        <f t="shared" si="12"/>
        <v>1500000</v>
      </c>
      <c r="G24" s="201">
        <f t="shared" si="12"/>
        <v>1500000</v>
      </c>
      <c r="H24" s="201">
        <f t="shared" si="12"/>
        <v>1500000</v>
      </c>
      <c r="I24" s="201">
        <f t="shared" si="12"/>
        <v>1500000</v>
      </c>
      <c r="J24" s="201">
        <f t="shared" si="12"/>
        <v>1500000</v>
      </c>
      <c r="K24" s="201">
        <f t="shared" si="12"/>
        <v>1500000</v>
      </c>
      <c r="L24" s="201">
        <f t="shared" si="12"/>
        <v>1500000</v>
      </c>
      <c r="M24" s="201">
        <f t="shared" si="12"/>
        <v>1500000</v>
      </c>
      <c r="N24" s="201">
        <f t="shared" si="12"/>
        <v>1500000</v>
      </c>
      <c r="O24" s="201">
        <f t="shared" si="12"/>
        <v>1500000</v>
      </c>
      <c r="P24" s="201">
        <f t="shared" si="12"/>
        <v>1500000</v>
      </c>
      <c r="Q24" s="201">
        <f t="shared" si="12"/>
        <v>1500000</v>
      </c>
      <c r="R24" s="201">
        <f t="shared" si="12"/>
        <v>1500000</v>
      </c>
      <c r="S24" s="201">
        <f t="shared" si="12"/>
        <v>1500000</v>
      </c>
      <c r="T24" s="201">
        <f t="shared" si="12"/>
        <v>1500000</v>
      </c>
      <c r="U24" s="201">
        <f t="shared" si="12"/>
        <v>1500000</v>
      </c>
      <c r="V24" s="201">
        <f t="shared" si="12"/>
        <v>1500000</v>
      </c>
      <c r="W24" s="201">
        <f t="shared" si="12"/>
        <v>1500000</v>
      </c>
      <c r="X24" s="201">
        <f t="shared" si="12"/>
        <v>1500000</v>
      </c>
      <c r="Y24" s="201">
        <f t="shared" si="12"/>
        <v>1500000</v>
      </c>
      <c r="Z24" s="201">
        <f t="shared" si="12"/>
        <v>1500000</v>
      </c>
      <c r="AA24" s="201">
        <f t="shared" si="12"/>
        <v>1500000</v>
      </c>
      <c r="AB24" s="201">
        <f t="shared" si="12"/>
        <v>1500000</v>
      </c>
      <c r="AC24" s="201">
        <f t="shared" si="12"/>
        <v>1500000</v>
      </c>
      <c r="AD24" s="201">
        <f t="shared" si="12"/>
        <v>1500000</v>
      </c>
      <c r="AE24" s="201">
        <f t="shared" si="12"/>
        <v>1500000</v>
      </c>
      <c r="AF24" s="201">
        <f t="shared" si="12"/>
        <v>1500000</v>
      </c>
      <c r="AG24" s="201">
        <f t="shared" si="12"/>
        <v>1500000</v>
      </c>
      <c r="AH24" s="201">
        <f t="shared" si="12"/>
        <v>1500000</v>
      </c>
      <c r="AI24" s="201">
        <f t="shared" si="12"/>
        <v>1500000</v>
      </c>
      <c r="AJ24" s="201">
        <f t="shared" si="12"/>
        <v>1500000</v>
      </c>
      <c r="AK24" s="201">
        <f t="shared" si="12"/>
        <v>1500000</v>
      </c>
      <c r="AL24" s="201">
        <f t="shared" si="12"/>
        <v>1500000</v>
      </c>
      <c r="AM24" s="201">
        <f t="shared" si="12"/>
        <v>1500000</v>
      </c>
      <c r="AN24" s="201">
        <f t="shared" si="12"/>
        <v>1500000</v>
      </c>
      <c r="AO24" s="201">
        <f t="shared" si="12"/>
        <v>1500000</v>
      </c>
      <c r="AP24" s="201">
        <f t="shared" si="12"/>
        <v>1500000</v>
      </c>
      <c r="AQ24" s="201">
        <f t="shared" si="12"/>
        <v>1500000</v>
      </c>
      <c r="AR24" s="201">
        <f t="shared" si="12"/>
        <v>1500000</v>
      </c>
      <c r="AS24" s="201">
        <f t="shared" si="12"/>
        <v>1500000</v>
      </c>
      <c r="AT24" s="201">
        <f t="shared" si="12"/>
        <v>1500000</v>
      </c>
      <c r="AU24" s="201">
        <f t="shared" si="12"/>
        <v>1500000</v>
      </c>
      <c r="AV24" s="201">
        <f t="shared" si="12"/>
        <v>1500000</v>
      </c>
      <c r="AW24" s="201">
        <f t="shared" si="12"/>
        <v>1500000</v>
      </c>
      <c r="AX24" s="201">
        <f t="shared" si="12"/>
        <v>1500000</v>
      </c>
      <c r="AY24" s="201">
        <f t="shared" si="12"/>
        <v>1500000</v>
      </c>
      <c r="AZ24" s="201">
        <f t="shared" si="12"/>
        <v>1500000</v>
      </c>
      <c r="BA24" s="201">
        <f t="shared" si="12"/>
        <v>1500000</v>
      </c>
      <c r="BB24" s="201">
        <f t="shared" si="12"/>
        <v>1500000</v>
      </c>
      <c r="BC24" s="201">
        <f t="shared" si="12"/>
        <v>1500000</v>
      </c>
      <c r="BD24" s="201">
        <f t="shared" si="12"/>
        <v>1500000</v>
      </c>
      <c r="BE24" s="201">
        <f t="shared" si="12"/>
        <v>1500000</v>
      </c>
      <c r="BF24" s="201">
        <f t="shared" si="12"/>
        <v>1500000</v>
      </c>
      <c r="BG24" s="201">
        <f t="shared" si="12"/>
        <v>1500000</v>
      </c>
      <c r="BH24" s="201">
        <f t="shared" si="12"/>
        <v>1500000</v>
      </c>
      <c r="BI24" s="201">
        <f t="shared" si="12"/>
        <v>1500000</v>
      </c>
      <c r="BJ24" s="201">
        <f t="shared" si="12"/>
        <v>1500000</v>
      </c>
    </row>
    <row r="25" spans="2:62" ht="15.6">
      <c r="B25" s="210" t="str">
        <f t="shared" si="10"/>
        <v>Shop Upgrades</v>
      </c>
      <c r="C25" s="201">
        <f t="shared" si="11"/>
        <v>950000</v>
      </c>
      <c r="D25" s="201">
        <f t="shared" ref="D25:BJ25" si="13">C25+D15</f>
        <v>950000</v>
      </c>
      <c r="E25" s="201">
        <f t="shared" si="13"/>
        <v>950000</v>
      </c>
      <c r="F25" s="201">
        <f t="shared" si="13"/>
        <v>950000</v>
      </c>
      <c r="G25" s="201">
        <f t="shared" si="13"/>
        <v>950000</v>
      </c>
      <c r="H25" s="201">
        <f t="shared" si="13"/>
        <v>950000</v>
      </c>
      <c r="I25" s="201">
        <f t="shared" si="13"/>
        <v>950000</v>
      </c>
      <c r="J25" s="201">
        <f t="shared" si="13"/>
        <v>950000</v>
      </c>
      <c r="K25" s="201">
        <f t="shared" si="13"/>
        <v>950000</v>
      </c>
      <c r="L25" s="201">
        <f t="shared" si="13"/>
        <v>950000</v>
      </c>
      <c r="M25" s="201">
        <f t="shared" si="13"/>
        <v>950000</v>
      </c>
      <c r="N25" s="201">
        <f t="shared" si="13"/>
        <v>950000</v>
      </c>
      <c r="O25" s="201">
        <f t="shared" si="13"/>
        <v>950000</v>
      </c>
      <c r="P25" s="201">
        <f t="shared" si="13"/>
        <v>950000</v>
      </c>
      <c r="Q25" s="201">
        <f t="shared" si="13"/>
        <v>950000</v>
      </c>
      <c r="R25" s="201">
        <f t="shared" si="13"/>
        <v>950000</v>
      </c>
      <c r="S25" s="201">
        <f t="shared" si="13"/>
        <v>950000</v>
      </c>
      <c r="T25" s="201">
        <f t="shared" si="13"/>
        <v>950000</v>
      </c>
      <c r="U25" s="201">
        <f t="shared" si="13"/>
        <v>950000</v>
      </c>
      <c r="V25" s="201">
        <f t="shared" si="13"/>
        <v>950000</v>
      </c>
      <c r="W25" s="201">
        <f t="shared" si="13"/>
        <v>950000</v>
      </c>
      <c r="X25" s="201">
        <f t="shared" si="13"/>
        <v>950000</v>
      </c>
      <c r="Y25" s="201">
        <f t="shared" si="13"/>
        <v>950000</v>
      </c>
      <c r="Z25" s="201">
        <f t="shared" si="13"/>
        <v>950000</v>
      </c>
      <c r="AA25" s="201">
        <f t="shared" si="13"/>
        <v>950000</v>
      </c>
      <c r="AB25" s="201">
        <f t="shared" si="13"/>
        <v>950000</v>
      </c>
      <c r="AC25" s="201">
        <f t="shared" si="13"/>
        <v>950000</v>
      </c>
      <c r="AD25" s="201">
        <f t="shared" si="13"/>
        <v>950000</v>
      </c>
      <c r="AE25" s="201">
        <f t="shared" si="13"/>
        <v>950000</v>
      </c>
      <c r="AF25" s="201">
        <f t="shared" si="13"/>
        <v>950000</v>
      </c>
      <c r="AG25" s="201">
        <f t="shared" si="13"/>
        <v>950000</v>
      </c>
      <c r="AH25" s="201">
        <f t="shared" si="13"/>
        <v>950000</v>
      </c>
      <c r="AI25" s="201">
        <f t="shared" si="13"/>
        <v>950000</v>
      </c>
      <c r="AJ25" s="201">
        <f t="shared" si="13"/>
        <v>950000</v>
      </c>
      <c r="AK25" s="201">
        <f t="shared" si="13"/>
        <v>950000</v>
      </c>
      <c r="AL25" s="201">
        <f t="shared" si="13"/>
        <v>950000</v>
      </c>
      <c r="AM25" s="201">
        <f t="shared" si="13"/>
        <v>950000</v>
      </c>
      <c r="AN25" s="201">
        <f t="shared" si="13"/>
        <v>950000</v>
      </c>
      <c r="AO25" s="201">
        <f t="shared" si="13"/>
        <v>950000</v>
      </c>
      <c r="AP25" s="201">
        <f t="shared" si="13"/>
        <v>950000</v>
      </c>
      <c r="AQ25" s="201">
        <f t="shared" si="13"/>
        <v>950000</v>
      </c>
      <c r="AR25" s="201">
        <f t="shared" si="13"/>
        <v>950000</v>
      </c>
      <c r="AS25" s="201">
        <f t="shared" si="13"/>
        <v>950000</v>
      </c>
      <c r="AT25" s="201">
        <f t="shared" si="13"/>
        <v>950000</v>
      </c>
      <c r="AU25" s="201">
        <f t="shared" si="13"/>
        <v>950000</v>
      </c>
      <c r="AV25" s="201">
        <f t="shared" si="13"/>
        <v>950000</v>
      </c>
      <c r="AW25" s="201">
        <f t="shared" si="13"/>
        <v>950000</v>
      </c>
      <c r="AX25" s="201">
        <f t="shared" si="13"/>
        <v>950000</v>
      </c>
      <c r="AY25" s="201">
        <f t="shared" si="13"/>
        <v>950000</v>
      </c>
      <c r="AZ25" s="201">
        <f t="shared" si="13"/>
        <v>950000</v>
      </c>
      <c r="BA25" s="201">
        <f t="shared" si="13"/>
        <v>950000</v>
      </c>
      <c r="BB25" s="201">
        <f t="shared" si="13"/>
        <v>950000</v>
      </c>
      <c r="BC25" s="201">
        <f t="shared" si="13"/>
        <v>950000</v>
      </c>
      <c r="BD25" s="201">
        <f t="shared" si="13"/>
        <v>950000</v>
      </c>
      <c r="BE25" s="201">
        <f t="shared" si="13"/>
        <v>950000</v>
      </c>
      <c r="BF25" s="201">
        <f t="shared" si="13"/>
        <v>950000</v>
      </c>
      <c r="BG25" s="201">
        <f t="shared" si="13"/>
        <v>950000</v>
      </c>
      <c r="BH25" s="201">
        <f t="shared" si="13"/>
        <v>950000</v>
      </c>
      <c r="BI25" s="201">
        <f t="shared" si="13"/>
        <v>950000</v>
      </c>
      <c r="BJ25" s="201">
        <f t="shared" si="13"/>
        <v>950000</v>
      </c>
    </row>
    <row r="26" spans="2:62" ht="15.6" hidden="1">
      <c r="B26" s="210" t="str">
        <f t="shared" si="10"/>
        <v/>
      </c>
      <c r="C26" s="201">
        <f t="shared" si="11"/>
        <v>0</v>
      </c>
      <c r="D26" s="201">
        <f t="shared" ref="D26:BJ26" si="14">C26+D16</f>
        <v>0</v>
      </c>
      <c r="E26" s="201">
        <f t="shared" si="14"/>
        <v>0</v>
      </c>
      <c r="F26" s="201">
        <f t="shared" si="14"/>
        <v>0</v>
      </c>
      <c r="G26" s="201">
        <f t="shared" si="14"/>
        <v>0</v>
      </c>
      <c r="H26" s="201">
        <f t="shared" si="14"/>
        <v>0</v>
      </c>
      <c r="I26" s="201">
        <f t="shared" si="14"/>
        <v>0</v>
      </c>
      <c r="J26" s="201">
        <f t="shared" si="14"/>
        <v>0</v>
      </c>
      <c r="K26" s="201">
        <f t="shared" si="14"/>
        <v>0</v>
      </c>
      <c r="L26" s="201">
        <f t="shared" si="14"/>
        <v>0</v>
      </c>
      <c r="M26" s="201">
        <f t="shared" si="14"/>
        <v>0</v>
      </c>
      <c r="N26" s="201">
        <f t="shared" si="14"/>
        <v>0</v>
      </c>
      <c r="O26" s="201">
        <f t="shared" si="14"/>
        <v>0</v>
      </c>
      <c r="P26" s="201">
        <f t="shared" si="14"/>
        <v>0</v>
      </c>
      <c r="Q26" s="201">
        <f t="shared" si="14"/>
        <v>0</v>
      </c>
      <c r="R26" s="201">
        <f t="shared" si="14"/>
        <v>0</v>
      </c>
      <c r="S26" s="201">
        <f t="shared" si="14"/>
        <v>0</v>
      </c>
      <c r="T26" s="201">
        <f t="shared" si="14"/>
        <v>0</v>
      </c>
      <c r="U26" s="201">
        <f t="shared" si="14"/>
        <v>0</v>
      </c>
      <c r="V26" s="201">
        <f t="shared" si="14"/>
        <v>0</v>
      </c>
      <c r="W26" s="201">
        <f t="shared" si="14"/>
        <v>0</v>
      </c>
      <c r="X26" s="201">
        <f t="shared" si="14"/>
        <v>0</v>
      </c>
      <c r="Y26" s="201">
        <f t="shared" si="14"/>
        <v>0</v>
      </c>
      <c r="Z26" s="201">
        <f t="shared" si="14"/>
        <v>0</v>
      </c>
      <c r="AA26" s="201">
        <f t="shared" si="14"/>
        <v>0</v>
      </c>
      <c r="AB26" s="201">
        <f t="shared" si="14"/>
        <v>0</v>
      </c>
      <c r="AC26" s="201">
        <f t="shared" si="14"/>
        <v>0</v>
      </c>
      <c r="AD26" s="201">
        <f t="shared" si="14"/>
        <v>0</v>
      </c>
      <c r="AE26" s="201">
        <f t="shared" si="14"/>
        <v>0</v>
      </c>
      <c r="AF26" s="201">
        <f t="shared" si="14"/>
        <v>0</v>
      </c>
      <c r="AG26" s="201">
        <f t="shared" si="14"/>
        <v>0</v>
      </c>
      <c r="AH26" s="201">
        <f t="shared" si="14"/>
        <v>0</v>
      </c>
      <c r="AI26" s="201">
        <f t="shared" si="14"/>
        <v>0</v>
      </c>
      <c r="AJ26" s="201">
        <f t="shared" si="14"/>
        <v>0</v>
      </c>
      <c r="AK26" s="201">
        <f t="shared" si="14"/>
        <v>0</v>
      </c>
      <c r="AL26" s="201">
        <f t="shared" si="14"/>
        <v>0</v>
      </c>
      <c r="AM26" s="201">
        <f t="shared" si="14"/>
        <v>0</v>
      </c>
      <c r="AN26" s="201">
        <f t="shared" si="14"/>
        <v>0</v>
      </c>
      <c r="AO26" s="201">
        <f t="shared" si="14"/>
        <v>0</v>
      </c>
      <c r="AP26" s="201">
        <f t="shared" si="14"/>
        <v>0</v>
      </c>
      <c r="AQ26" s="201">
        <f t="shared" si="14"/>
        <v>0</v>
      </c>
      <c r="AR26" s="201">
        <f t="shared" si="14"/>
        <v>0</v>
      </c>
      <c r="AS26" s="201">
        <f t="shared" si="14"/>
        <v>0</v>
      </c>
      <c r="AT26" s="201">
        <f t="shared" si="14"/>
        <v>0</v>
      </c>
      <c r="AU26" s="201">
        <f t="shared" si="14"/>
        <v>0</v>
      </c>
      <c r="AV26" s="201">
        <f t="shared" si="14"/>
        <v>0</v>
      </c>
      <c r="AW26" s="201">
        <f t="shared" si="14"/>
        <v>0</v>
      </c>
      <c r="AX26" s="201">
        <f t="shared" si="14"/>
        <v>0</v>
      </c>
      <c r="AY26" s="201">
        <f t="shared" si="14"/>
        <v>0</v>
      </c>
      <c r="AZ26" s="201">
        <f t="shared" si="14"/>
        <v>0</v>
      </c>
      <c r="BA26" s="201">
        <f t="shared" si="14"/>
        <v>0</v>
      </c>
      <c r="BB26" s="201">
        <f t="shared" si="14"/>
        <v>0</v>
      </c>
      <c r="BC26" s="201">
        <f t="shared" si="14"/>
        <v>0</v>
      </c>
      <c r="BD26" s="201">
        <f t="shared" si="14"/>
        <v>0</v>
      </c>
      <c r="BE26" s="201">
        <f t="shared" si="14"/>
        <v>0</v>
      </c>
      <c r="BF26" s="201">
        <f t="shared" si="14"/>
        <v>0</v>
      </c>
      <c r="BG26" s="201">
        <f t="shared" si="14"/>
        <v>0</v>
      </c>
      <c r="BH26" s="201">
        <f t="shared" si="14"/>
        <v>0</v>
      </c>
      <c r="BI26" s="201">
        <f t="shared" si="14"/>
        <v>0</v>
      </c>
      <c r="BJ26" s="201">
        <f t="shared" si="14"/>
        <v>0</v>
      </c>
    </row>
    <row r="27" spans="2:62" ht="15.6" hidden="1">
      <c r="B27" s="210" t="str">
        <f t="shared" si="10"/>
        <v/>
      </c>
      <c r="C27" s="201">
        <f t="shared" si="11"/>
        <v>0</v>
      </c>
      <c r="D27" s="201">
        <f t="shared" ref="D27:BJ27" si="15">C27+D17</f>
        <v>0</v>
      </c>
      <c r="E27" s="201">
        <f t="shared" si="15"/>
        <v>0</v>
      </c>
      <c r="F27" s="201">
        <f t="shared" si="15"/>
        <v>0</v>
      </c>
      <c r="G27" s="201">
        <f t="shared" si="15"/>
        <v>0</v>
      </c>
      <c r="H27" s="201">
        <f t="shared" si="15"/>
        <v>0</v>
      </c>
      <c r="I27" s="201">
        <f t="shared" si="15"/>
        <v>0</v>
      </c>
      <c r="J27" s="201">
        <f t="shared" si="15"/>
        <v>0</v>
      </c>
      <c r="K27" s="201">
        <f t="shared" si="15"/>
        <v>0</v>
      </c>
      <c r="L27" s="201">
        <f t="shared" si="15"/>
        <v>0</v>
      </c>
      <c r="M27" s="201">
        <f t="shared" si="15"/>
        <v>0</v>
      </c>
      <c r="N27" s="201">
        <f t="shared" si="15"/>
        <v>0</v>
      </c>
      <c r="O27" s="201">
        <f t="shared" si="15"/>
        <v>0</v>
      </c>
      <c r="P27" s="201">
        <f t="shared" si="15"/>
        <v>0</v>
      </c>
      <c r="Q27" s="201">
        <f t="shared" si="15"/>
        <v>0</v>
      </c>
      <c r="R27" s="201">
        <f t="shared" si="15"/>
        <v>0</v>
      </c>
      <c r="S27" s="201">
        <f t="shared" si="15"/>
        <v>0</v>
      </c>
      <c r="T27" s="201">
        <f t="shared" si="15"/>
        <v>0</v>
      </c>
      <c r="U27" s="201">
        <f t="shared" si="15"/>
        <v>0</v>
      </c>
      <c r="V27" s="201">
        <f t="shared" si="15"/>
        <v>0</v>
      </c>
      <c r="W27" s="201">
        <f t="shared" si="15"/>
        <v>0</v>
      </c>
      <c r="X27" s="201">
        <f t="shared" si="15"/>
        <v>0</v>
      </c>
      <c r="Y27" s="201">
        <f t="shared" si="15"/>
        <v>0</v>
      </c>
      <c r="Z27" s="201">
        <f t="shared" si="15"/>
        <v>0</v>
      </c>
      <c r="AA27" s="201">
        <f t="shared" si="15"/>
        <v>0</v>
      </c>
      <c r="AB27" s="201">
        <f t="shared" si="15"/>
        <v>0</v>
      </c>
      <c r="AC27" s="201">
        <f t="shared" si="15"/>
        <v>0</v>
      </c>
      <c r="AD27" s="201">
        <f t="shared" si="15"/>
        <v>0</v>
      </c>
      <c r="AE27" s="201">
        <f t="shared" si="15"/>
        <v>0</v>
      </c>
      <c r="AF27" s="201">
        <f t="shared" si="15"/>
        <v>0</v>
      </c>
      <c r="AG27" s="201">
        <f t="shared" si="15"/>
        <v>0</v>
      </c>
      <c r="AH27" s="201">
        <f t="shared" si="15"/>
        <v>0</v>
      </c>
      <c r="AI27" s="201">
        <f t="shared" si="15"/>
        <v>0</v>
      </c>
      <c r="AJ27" s="201">
        <f t="shared" si="15"/>
        <v>0</v>
      </c>
      <c r="AK27" s="201">
        <f t="shared" si="15"/>
        <v>0</v>
      </c>
      <c r="AL27" s="201">
        <f t="shared" si="15"/>
        <v>0</v>
      </c>
      <c r="AM27" s="201">
        <f t="shared" si="15"/>
        <v>0</v>
      </c>
      <c r="AN27" s="201">
        <f t="shared" si="15"/>
        <v>0</v>
      </c>
      <c r="AO27" s="201">
        <f t="shared" si="15"/>
        <v>0</v>
      </c>
      <c r="AP27" s="201">
        <f t="shared" si="15"/>
        <v>0</v>
      </c>
      <c r="AQ27" s="201">
        <f t="shared" si="15"/>
        <v>0</v>
      </c>
      <c r="AR27" s="201">
        <f t="shared" si="15"/>
        <v>0</v>
      </c>
      <c r="AS27" s="201">
        <f t="shared" si="15"/>
        <v>0</v>
      </c>
      <c r="AT27" s="201">
        <f t="shared" si="15"/>
        <v>0</v>
      </c>
      <c r="AU27" s="201">
        <f t="shared" si="15"/>
        <v>0</v>
      </c>
      <c r="AV27" s="201">
        <f t="shared" si="15"/>
        <v>0</v>
      </c>
      <c r="AW27" s="201">
        <f t="shared" si="15"/>
        <v>0</v>
      </c>
      <c r="AX27" s="201">
        <f t="shared" si="15"/>
        <v>0</v>
      </c>
      <c r="AY27" s="201">
        <f t="shared" si="15"/>
        <v>0</v>
      </c>
      <c r="AZ27" s="201">
        <f t="shared" si="15"/>
        <v>0</v>
      </c>
      <c r="BA27" s="201">
        <f t="shared" si="15"/>
        <v>0</v>
      </c>
      <c r="BB27" s="201">
        <f t="shared" si="15"/>
        <v>0</v>
      </c>
      <c r="BC27" s="201">
        <f t="shared" si="15"/>
        <v>0</v>
      </c>
      <c r="BD27" s="201">
        <f t="shared" si="15"/>
        <v>0</v>
      </c>
      <c r="BE27" s="201">
        <f t="shared" si="15"/>
        <v>0</v>
      </c>
      <c r="BF27" s="201">
        <f t="shared" si="15"/>
        <v>0</v>
      </c>
      <c r="BG27" s="201">
        <f t="shared" si="15"/>
        <v>0</v>
      </c>
      <c r="BH27" s="201">
        <f t="shared" si="15"/>
        <v>0</v>
      </c>
      <c r="BI27" s="201">
        <f t="shared" si="15"/>
        <v>0</v>
      </c>
      <c r="BJ27" s="201">
        <f t="shared" si="15"/>
        <v>0</v>
      </c>
    </row>
    <row r="28" spans="2:62" ht="15.6" hidden="1">
      <c r="B28" s="210"/>
      <c r="C28" s="201"/>
      <c r="D28" s="201"/>
      <c r="E28" s="201"/>
      <c r="F28" s="201"/>
      <c r="G28" s="201"/>
      <c r="H28" s="201"/>
      <c r="I28" s="201"/>
      <c r="J28" s="201"/>
      <c r="K28" s="201"/>
      <c r="L28" s="201"/>
      <c r="M28" s="201"/>
      <c r="N28" s="201"/>
      <c r="O28" s="201"/>
      <c r="P28" s="201"/>
      <c r="Q28" s="201"/>
      <c r="R28" s="201"/>
      <c r="S28" s="201"/>
      <c r="T28" s="201"/>
      <c r="U28" s="201"/>
      <c r="V28" s="201"/>
      <c r="W28" s="201"/>
      <c r="X28" s="201"/>
      <c r="Y28" s="201"/>
      <c r="Z28" s="201"/>
      <c r="AA28" s="201"/>
      <c r="AB28" s="201"/>
      <c r="AC28" s="201"/>
      <c r="AD28" s="201"/>
      <c r="AE28" s="201"/>
      <c r="AF28" s="201"/>
      <c r="AG28" s="201"/>
      <c r="AH28" s="201"/>
      <c r="AI28" s="201"/>
      <c r="AJ28" s="201"/>
      <c r="AK28" s="201"/>
      <c r="AL28" s="201"/>
      <c r="AM28" s="201"/>
      <c r="AN28" s="201"/>
      <c r="AO28" s="201"/>
      <c r="AP28" s="201"/>
      <c r="AQ28" s="201"/>
      <c r="AR28" s="201"/>
      <c r="AS28" s="201"/>
      <c r="AT28" s="201"/>
      <c r="AU28" s="201"/>
      <c r="AV28" s="201"/>
      <c r="AW28" s="201"/>
      <c r="AX28" s="201"/>
      <c r="AY28" s="201"/>
      <c r="AZ28" s="201"/>
      <c r="BA28" s="201"/>
      <c r="BB28" s="201"/>
      <c r="BC28" s="201"/>
      <c r="BD28" s="201"/>
      <c r="BE28" s="201"/>
      <c r="BF28" s="201"/>
      <c r="BG28" s="201"/>
      <c r="BH28" s="201"/>
      <c r="BI28" s="201"/>
      <c r="BJ28" s="201"/>
    </row>
    <row r="29" spans="2:62" ht="15.6">
      <c r="B29" s="94" t="s">
        <v>26</v>
      </c>
      <c r="C29" s="209">
        <f>SUM(C23:C28)</f>
        <v>4450000</v>
      </c>
      <c r="D29" s="209">
        <f t="shared" ref="D29" si="16">SUM(D23:D28)</f>
        <v>4450000</v>
      </c>
      <c r="E29" s="209">
        <f t="shared" ref="E29" si="17">SUM(E23:E28)</f>
        <v>4450000</v>
      </c>
      <c r="F29" s="209">
        <f t="shared" ref="F29" si="18">SUM(F23:F28)</f>
        <v>4450000</v>
      </c>
      <c r="G29" s="209">
        <f t="shared" ref="G29" si="19">SUM(G23:G28)</f>
        <v>4450000</v>
      </c>
      <c r="H29" s="209">
        <f t="shared" ref="H29" si="20">SUM(H23:H28)</f>
        <v>4450000</v>
      </c>
      <c r="I29" s="209">
        <f t="shared" ref="I29" si="21">SUM(I23:I28)</f>
        <v>4450000</v>
      </c>
      <c r="J29" s="209">
        <f t="shared" ref="J29" si="22">SUM(J23:J28)</f>
        <v>4450000</v>
      </c>
      <c r="K29" s="209">
        <f t="shared" ref="K29" si="23">SUM(K23:K28)</f>
        <v>4450000</v>
      </c>
      <c r="L29" s="209">
        <f t="shared" ref="L29" si="24">SUM(L23:L28)</f>
        <v>4450000</v>
      </c>
      <c r="M29" s="209">
        <f t="shared" ref="M29" si="25">SUM(M23:M28)</f>
        <v>4450000</v>
      </c>
      <c r="N29" s="209">
        <f t="shared" ref="N29" si="26">SUM(N23:N28)</f>
        <v>4450000</v>
      </c>
      <c r="O29" s="209">
        <f t="shared" ref="O29" si="27">SUM(O23:O28)</f>
        <v>4450000</v>
      </c>
      <c r="P29" s="209">
        <f t="shared" ref="P29" si="28">SUM(P23:P28)</f>
        <v>4450000</v>
      </c>
      <c r="Q29" s="209">
        <f t="shared" ref="Q29" si="29">SUM(Q23:Q28)</f>
        <v>4450000</v>
      </c>
      <c r="R29" s="209">
        <f t="shared" ref="R29" si="30">SUM(R23:R28)</f>
        <v>4450000</v>
      </c>
      <c r="S29" s="209">
        <f t="shared" ref="S29" si="31">SUM(S23:S28)</f>
        <v>4450000</v>
      </c>
      <c r="T29" s="209">
        <f t="shared" ref="T29" si="32">SUM(T23:T28)</f>
        <v>4450000</v>
      </c>
      <c r="U29" s="209">
        <f t="shared" ref="U29" si="33">SUM(U23:U28)</f>
        <v>4450000</v>
      </c>
      <c r="V29" s="209">
        <f t="shared" ref="V29" si="34">SUM(V23:V28)</f>
        <v>4450000</v>
      </c>
      <c r="W29" s="209">
        <f t="shared" ref="W29" si="35">SUM(W23:W28)</f>
        <v>4450000</v>
      </c>
      <c r="X29" s="209">
        <f t="shared" ref="X29" si="36">SUM(X23:X28)</f>
        <v>4450000</v>
      </c>
      <c r="Y29" s="209">
        <f t="shared" ref="Y29" si="37">SUM(Y23:Y28)</f>
        <v>4450000</v>
      </c>
      <c r="Z29" s="209">
        <f t="shared" ref="Z29" si="38">SUM(Z23:Z28)</f>
        <v>4450000</v>
      </c>
      <c r="AA29" s="209">
        <f t="shared" ref="AA29" si="39">SUM(AA23:AA28)</f>
        <v>4450000</v>
      </c>
      <c r="AB29" s="209">
        <f t="shared" ref="AB29" si="40">SUM(AB23:AB28)</f>
        <v>4450000</v>
      </c>
      <c r="AC29" s="209">
        <f t="shared" ref="AC29" si="41">SUM(AC23:AC28)</f>
        <v>4450000</v>
      </c>
      <c r="AD29" s="209">
        <f t="shared" ref="AD29" si="42">SUM(AD23:AD28)</f>
        <v>4450000</v>
      </c>
      <c r="AE29" s="209">
        <f t="shared" ref="AE29" si="43">SUM(AE23:AE28)</f>
        <v>4450000</v>
      </c>
      <c r="AF29" s="209">
        <f t="shared" ref="AF29" si="44">SUM(AF23:AF28)</f>
        <v>4450000</v>
      </c>
      <c r="AG29" s="209">
        <f t="shared" ref="AG29" si="45">SUM(AG23:AG28)</f>
        <v>4450000</v>
      </c>
      <c r="AH29" s="209">
        <f t="shared" ref="AH29" si="46">SUM(AH23:AH28)</f>
        <v>4450000</v>
      </c>
      <c r="AI29" s="209">
        <f t="shared" ref="AI29" si="47">SUM(AI23:AI28)</f>
        <v>4450000</v>
      </c>
      <c r="AJ29" s="209">
        <f t="shared" ref="AJ29" si="48">SUM(AJ23:AJ28)</f>
        <v>4450000</v>
      </c>
      <c r="AK29" s="209">
        <f t="shared" ref="AK29" si="49">SUM(AK23:AK28)</f>
        <v>4450000</v>
      </c>
      <c r="AL29" s="209">
        <f t="shared" ref="AL29" si="50">SUM(AL23:AL28)</f>
        <v>4450000</v>
      </c>
      <c r="AM29" s="209">
        <f t="shared" ref="AM29" si="51">SUM(AM23:AM28)</f>
        <v>4450000</v>
      </c>
      <c r="AN29" s="209">
        <f t="shared" ref="AN29" si="52">SUM(AN23:AN28)</f>
        <v>4450000</v>
      </c>
      <c r="AO29" s="209">
        <f t="shared" ref="AO29" si="53">SUM(AO23:AO28)</f>
        <v>4450000</v>
      </c>
      <c r="AP29" s="209">
        <f t="shared" ref="AP29" si="54">SUM(AP23:AP28)</f>
        <v>4450000</v>
      </c>
      <c r="AQ29" s="209">
        <f t="shared" ref="AQ29" si="55">SUM(AQ23:AQ28)</f>
        <v>4450000</v>
      </c>
      <c r="AR29" s="209">
        <f t="shared" ref="AR29" si="56">SUM(AR23:AR28)</f>
        <v>4450000</v>
      </c>
      <c r="AS29" s="209">
        <f t="shared" ref="AS29" si="57">SUM(AS23:AS28)</f>
        <v>4450000</v>
      </c>
      <c r="AT29" s="209">
        <f t="shared" ref="AT29" si="58">SUM(AT23:AT28)</f>
        <v>4450000</v>
      </c>
      <c r="AU29" s="209">
        <f t="shared" ref="AU29" si="59">SUM(AU23:AU28)</f>
        <v>4450000</v>
      </c>
      <c r="AV29" s="209">
        <f t="shared" ref="AV29" si="60">SUM(AV23:AV28)</f>
        <v>4450000</v>
      </c>
      <c r="AW29" s="209">
        <f t="shared" ref="AW29" si="61">SUM(AW23:AW28)</f>
        <v>4450000</v>
      </c>
      <c r="AX29" s="209">
        <f t="shared" ref="AX29" si="62">SUM(AX23:AX28)</f>
        <v>4450000</v>
      </c>
      <c r="AY29" s="209">
        <f t="shared" ref="AY29" si="63">SUM(AY23:AY28)</f>
        <v>4450000</v>
      </c>
      <c r="AZ29" s="209">
        <f t="shared" ref="AZ29" si="64">SUM(AZ23:AZ28)</f>
        <v>4450000</v>
      </c>
      <c r="BA29" s="209">
        <f t="shared" ref="BA29" si="65">SUM(BA23:BA28)</f>
        <v>4450000</v>
      </c>
      <c r="BB29" s="209">
        <f t="shared" ref="BB29" si="66">SUM(BB23:BB28)</f>
        <v>4450000</v>
      </c>
      <c r="BC29" s="209">
        <f t="shared" ref="BC29" si="67">SUM(BC23:BC28)</f>
        <v>4450000</v>
      </c>
      <c r="BD29" s="209">
        <f t="shared" ref="BD29" si="68">SUM(BD23:BD28)</f>
        <v>4450000</v>
      </c>
      <c r="BE29" s="209">
        <f t="shared" ref="BE29" si="69">SUM(BE23:BE28)</f>
        <v>4450000</v>
      </c>
      <c r="BF29" s="209">
        <f t="shared" ref="BF29" si="70">SUM(BF23:BF28)</f>
        <v>4450000</v>
      </c>
      <c r="BG29" s="209">
        <f t="shared" ref="BG29" si="71">SUM(BG23:BG28)</f>
        <v>4450000</v>
      </c>
      <c r="BH29" s="209">
        <f t="shared" ref="BH29" si="72">SUM(BH23:BH28)</f>
        <v>4450000</v>
      </c>
      <c r="BI29" s="209">
        <f t="shared" ref="BI29" si="73">SUM(BI23:BI28)</f>
        <v>4450000</v>
      </c>
      <c r="BJ29" s="209">
        <f t="shared" ref="BJ29" si="74">SUM(BJ23:BJ28)</f>
        <v>4450000</v>
      </c>
    </row>
    <row r="32" spans="2:62" ht="17.399999999999999">
      <c r="B32" s="102" t="s">
        <v>108</v>
      </c>
      <c r="C32" s="171" t="s">
        <v>15</v>
      </c>
      <c r="D32" s="171" t="s">
        <v>41</v>
      </c>
      <c r="E32" s="171" t="s">
        <v>42</v>
      </c>
      <c r="F32" s="171" t="s">
        <v>43</v>
      </c>
      <c r="G32" s="171" t="s">
        <v>44</v>
      </c>
      <c r="H32" s="171" t="s">
        <v>45</v>
      </c>
      <c r="I32" s="171" t="s">
        <v>46</v>
      </c>
      <c r="J32" s="171" t="s">
        <v>47</v>
      </c>
      <c r="K32" s="171" t="s">
        <v>48</v>
      </c>
      <c r="L32" s="171" t="s">
        <v>49</v>
      </c>
      <c r="M32" s="171" t="s">
        <v>50</v>
      </c>
      <c r="N32" s="171" t="s">
        <v>51</v>
      </c>
      <c r="O32" s="171" t="s">
        <v>20</v>
      </c>
      <c r="P32" s="171" t="s">
        <v>52</v>
      </c>
      <c r="Q32" s="171" t="s">
        <v>53</v>
      </c>
      <c r="R32" s="171" t="s">
        <v>54</v>
      </c>
      <c r="S32" s="171" t="s">
        <v>55</v>
      </c>
      <c r="T32" s="171" t="s">
        <v>56</v>
      </c>
      <c r="U32" s="171" t="s">
        <v>57</v>
      </c>
      <c r="V32" s="171" t="s">
        <v>58</v>
      </c>
      <c r="W32" s="171" t="s">
        <v>59</v>
      </c>
      <c r="X32" s="171" t="s">
        <v>60</v>
      </c>
      <c r="Y32" s="171" t="s">
        <v>61</v>
      </c>
      <c r="Z32" s="171" t="s">
        <v>62</v>
      </c>
      <c r="AA32" s="171" t="s">
        <v>63</v>
      </c>
      <c r="AB32" s="171" t="s">
        <v>64</v>
      </c>
      <c r="AC32" s="171" t="s">
        <v>65</v>
      </c>
      <c r="AD32" s="171" t="s">
        <v>66</v>
      </c>
      <c r="AE32" s="171" t="s">
        <v>67</v>
      </c>
      <c r="AF32" s="171" t="s">
        <v>68</v>
      </c>
      <c r="AG32" s="171" t="s">
        <v>69</v>
      </c>
      <c r="AH32" s="171" t="s">
        <v>70</v>
      </c>
      <c r="AI32" s="171" t="s">
        <v>71</v>
      </c>
      <c r="AJ32" s="171" t="s">
        <v>72</v>
      </c>
      <c r="AK32" s="171" t="s">
        <v>73</v>
      </c>
      <c r="AL32" s="171" t="s">
        <v>74</v>
      </c>
      <c r="AM32" s="171" t="s">
        <v>75</v>
      </c>
      <c r="AN32" s="171" t="s">
        <v>76</v>
      </c>
      <c r="AO32" s="171" t="s">
        <v>77</v>
      </c>
      <c r="AP32" s="171" t="s">
        <v>78</v>
      </c>
      <c r="AQ32" s="171" t="s">
        <v>79</v>
      </c>
      <c r="AR32" s="171" t="s">
        <v>80</v>
      </c>
      <c r="AS32" s="171" t="s">
        <v>81</v>
      </c>
      <c r="AT32" s="171" t="s">
        <v>82</v>
      </c>
      <c r="AU32" s="171" t="s">
        <v>83</v>
      </c>
      <c r="AV32" s="171" t="s">
        <v>84</v>
      </c>
      <c r="AW32" s="171" t="s">
        <v>85</v>
      </c>
      <c r="AX32" s="171" t="s">
        <v>86</v>
      </c>
      <c r="AY32" s="171" t="s">
        <v>87</v>
      </c>
      <c r="AZ32" s="171" t="s">
        <v>88</v>
      </c>
      <c r="BA32" s="171" t="s">
        <v>89</v>
      </c>
      <c r="BB32" s="171" t="s">
        <v>90</v>
      </c>
      <c r="BC32" s="171" t="s">
        <v>91</v>
      </c>
      <c r="BD32" s="171" t="s">
        <v>92</v>
      </c>
      <c r="BE32" s="171" t="s">
        <v>93</v>
      </c>
      <c r="BF32" s="171" t="s">
        <v>94</v>
      </c>
      <c r="BG32" s="171" t="s">
        <v>95</v>
      </c>
      <c r="BH32" s="171" t="s">
        <v>96</v>
      </c>
      <c r="BI32" s="171" t="s">
        <v>97</v>
      </c>
      <c r="BJ32" s="171" t="s">
        <v>98</v>
      </c>
    </row>
    <row r="33" spans="2:62" ht="15.6">
      <c r="B33" s="210" t="str">
        <f>B23</f>
        <v>Metal Fabrication Shop Acquisition</v>
      </c>
      <c r="C33" s="201">
        <f>C23*Assumptions!$C20/12</f>
        <v>5000</v>
      </c>
      <c r="D33" s="201">
        <f>D23*Assumptions!$C20/12</f>
        <v>5000</v>
      </c>
      <c r="E33" s="201">
        <f>E23*Assumptions!$C20/12</f>
        <v>5000</v>
      </c>
      <c r="F33" s="201">
        <f>F23*Assumptions!$C20/12</f>
        <v>5000</v>
      </c>
      <c r="G33" s="201">
        <f>G23*Assumptions!$C20/12</f>
        <v>5000</v>
      </c>
      <c r="H33" s="201">
        <f>H23*Assumptions!$C20/12</f>
        <v>5000</v>
      </c>
      <c r="I33" s="201">
        <f>I23*Assumptions!$C20/12</f>
        <v>5000</v>
      </c>
      <c r="J33" s="201">
        <f>J23*Assumptions!$C20/12</f>
        <v>5000</v>
      </c>
      <c r="K33" s="201">
        <f>K23*Assumptions!$C20/12</f>
        <v>5000</v>
      </c>
      <c r="L33" s="201">
        <f>L23*Assumptions!$C20/12</f>
        <v>5000</v>
      </c>
      <c r="M33" s="201">
        <f>M23*Assumptions!$C20/12</f>
        <v>5000</v>
      </c>
      <c r="N33" s="201">
        <f>N23*Assumptions!$C20/12</f>
        <v>5000</v>
      </c>
      <c r="O33" s="201">
        <f>O23*Assumptions!$C20/12</f>
        <v>5000</v>
      </c>
      <c r="P33" s="201">
        <f>P23*Assumptions!$C20/12</f>
        <v>5000</v>
      </c>
      <c r="Q33" s="201">
        <f>Q23*Assumptions!$C20/12</f>
        <v>5000</v>
      </c>
      <c r="R33" s="201">
        <f>R23*Assumptions!$C20/12</f>
        <v>5000</v>
      </c>
      <c r="S33" s="201">
        <f>S23*Assumptions!$C20/12</f>
        <v>5000</v>
      </c>
      <c r="T33" s="201">
        <f>T23*Assumptions!$C20/12</f>
        <v>5000</v>
      </c>
      <c r="U33" s="201">
        <f>U23*Assumptions!$C20/12</f>
        <v>5000</v>
      </c>
      <c r="V33" s="201">
        <f>V23*Assumptions!$C20/12</f>
        <v>5000</v>
      </c>
      <c r="W33" s="201">
        <f>W23*Assumptions!$C20/12</f>
        <v>5000</v>
      </c>
      <c r="X33" s="201">
        <f>X23*Assumptions!$C20/12</f>
        <v>5000</v>
      </c>
      <c r="Y33" s="201">
        <f>Y23*Assumptions!$C20/12</f>
        <v>5000</v>
      </c>
      <c r="Z33" s="201">
        <f>Z23*Assumptions!$C20/12</f>
        <v>5000</v>
      </c>
      <c r="AA33" s="201">
        <f>AA23*Assumptions!$C20/12</f>
        <v>5000</v>
      </c>
      <c r="AB33" s="201">
        <f>AB23*Assumptions!$C20/12</f>
        <v>5000</v>
      </c>
      <c r="AC33" s="201">
        <f>AC23*Assumptions!$C20/12</f>
        <v>5000</v>
      </c>
      <c r="AD33" s="201">
        <f>AD23*Assumptions!$C20/12</f>
        <v>5000</v>
      </c>
      <c r="AE33" s="201">
        <f>AE23*Assumptions!$C20/12</f>
        <v>5000</v>
      </c>
      <c r="AF33" s="201">
        <f>AF23*Assumptions!$C20/12</f>
        <v>5000</v>
      </c>
      <c r="AG33" s="201">
        <f>AG23*Assumptions!$C20/12</f>
        <v>5000</v>
      </c>
      <c r="AH33" s="201">
        <f>AH23*Assumptions!$C20/12</f>
        <v>5000</v>
      </c>
      <c r="AI33" s="201">
        <f>AI23*Assumptions!$C20/12</f>
        <v>5000</v>
      </c>
      <c r="AJ33" s="201">
        <f>AJ23*Assumptions!$C20/12</f>
        <v>5000</v>
      </c>
      <c r="AK33" s="201">
        <f>AK23*Assumptions!$C20/12</f>
        <v>5000</v>
      </c>
      <c r="AL33" s="201">
        <f>AL23*Assumptions!$C20/12</f>
        <v>5000</v>
      </c>
      <c r="AM33" s="201">
        <f>AM23*Assumptions!$C20/12</f>
        <v>5000</v>
      </c>
      <c r="AN33" s="201">
        <f>AN23*Assumptions!$C20/12</f>
        <v>5000</v>
      </c>
      <c r="AO33" s="201">
        <f>AO23*Assumptions!$C20/12</f>
        <v>5000</v>
      </c>
      <c r="AP33" s="201">
        <f>AP23*Assumptions!$C20/12</f>
        <v>5000</v>
      </c>
      <c r="AQ33" s="201">
        <f>AQ23*Assumptions!$C20/12</f>
        <v>5000</v>
      </c>
      <c r="AR33" s="201">
        <f>AR23*Assumptions!$C20/12</f>
        <v>5000</v>
      </c>
      <c r="AS33" s="201">
        <f>AS23*Assumptions!$C20/12</f>
        <v>5000</v>
      </c>
      <c r="AT33" s="201">
        <f>AT23*Assumptions!$C20/12</f>
        <v>5000</v>
      </c>
      <c r="AU33" s="201">
        <f>AU23*Assumptions!$C20/12</f>
        <v>5000</v>
      </c>
      <c r="AV33" s="201">
        <f>AV23*Assumptions!$C20/12</f>
        <v>5000</v>
      </c>
      <c r="AW33" s="201">
        <f>AW23*Assumptions!$C20/12</f>
        <v>5000</v>
      </c>
      <c r="AX33" s="201">
        <f>AX23*Assumptions!$C20/12</f>
        <v>5000</v>
      </c>
      <c r="AY33" s="201">
        <f>AY23*Assumptions!$C20/12</f>
        <v>5000</v>
      </c>
      <c r="AZ33" s="201">
        <f>AZ23*Assumptions!$C20/12</f>
        <v>5000</v>
      </c>
      <c r="BA33" s="201">
        <f>BA23*Assumptions!$C20/12</f>
        <v>5000</v>
      </c>
      <c r="BB33" s="201">
        <f>BB23*Assumptions!$C20/12</f>
        <v>5000</v>
      </c>
      <c r="BC33" s="201">
        <f>BC23*Assumptions!$C20/12</f>
        <v>5000</v>
      </c>
      <c r="BD33" s="201">
        <f>BD23*Assumptions!$C20/12</f>
        <v>5000</v>
      </c>
      <c r="BE33" s="201">
        <f>BE23*Assumptions!$C20/12</f>
        <v>5000</v>
      </c>
      <c r="BF33" s="201">
        <f>BF23*Assumptions!$C20/12</f>
        <v>5000</v>
      </c>
      <c r="BG33" s="201">
        <f>BG23*Assumptions!$C20/12</f>
        <v>5000</v>
      </c>
      <c r="BH33" s="201">
        <f>BH23*Assumptions!$C20/12</f>
        <v>5000</v>
      </c>
      <c r="BI33" s="201">
        <f>BI23*Assumptions!$C20/12</f>
        <v>5000</v>
      </c>
      <c r="BJ33" s="201">
        <f>BJ23*Assumptions!$C20/12</f>
        <v>5000</v>
      </c>
    </row>
    <row r="34" spans="2:62" ht="15.6">
      <c r="B34" s="210" t="str">
        <f t="shared" ref="B34:B37" si="75">B24</f>
        <v>R&amp;D Surveillance System</v>
      </c>
      <c r="C34" s="201">
        <f>C24*Assumptions!$C21/12</f>
        <v>3750</v>
      </c>
      <c r="D34" s="201">
        <f>D24*Assumptions!$C21/12</f>
        <v>3750</v>
      </c>
      <c r="E34" s="201">
        <f>E24*Assumptions!$C21/12</f>
        <v>3750</v>
      </c>
      <c r="F34" s="201">
        <f>F24*Assumptions!$C21/12</f>
        <v>3750</v>
      </c>
      <c r="G34" s="201">
        <f>G24*Assumptions!$C21/12</f>
        <v>3750</v>
      </c>
      <c r="H34" s="201">
        <f>H24*Assumptions!$C21/12</f>
        <v>3750</v>
      </c>
      <c r="I34" s="201">
        <f>I24*Assumptions!$C21/12</f>
        <v>3750</v>
      </c>
      <c r="J34" s="201">
        <f>J24*Assumptions!$C21/12</f>
        <v>3750</v>
      </c>
      <c r="K34" s="201">
        <f>K24*Assumptions!$C21/12</f>
        <v>3750</v>
      </c>
      <c r="L34" s="201">
        <f>L24*Assumptions!$C21/12</f>
        <v>3750</v>
      </c>
      <c r="M34" s="201">
        <f>M24*Assumptions!$C21/12</f>
        <v>3750</v>
      </c>
      <c r="N34" s="201">
        <f>N24*Assumptions!$C21/12</f>
        <v>3750</v>
      </c>
      <c r="O34" s="201">
        <f>O24*Assumptions!$C21/12</f>
        <v>3750</v>
      </c>
      <c r="P34" s="201">
        <f>P24*Assumptions!$C21/12</f>
        <v>3750</v>
      </c>
      <c r="Q34" s="201">
        <f>Q24*Assumptions!$C21/12</f>
        <v>3750</v>
      </c>
      <c r="R34" s="201">
        <f>R24*Assumptions!$C21/12</f>
        <v>3750</v>
      </c>
      <c r="S34" s="201">
        <f>S24*Assumptions!$C21/12</f>
        <v>3750</v>
      </c>
      <c r="T34" s="201">
        <f>T24*Assumptions!$C21/12</f>
        <v>3750</v>
      </c>
      <c r="U34" s="201">
        <f>U24*Assumptions!$C21/12</f>
        <v>3750</v>
      </c>
      <c r="V34" s="201">
        <f>V24*Assumptions!$C21/12</f>
        <v>3750</v>
      </c>
      <c r="W34" s="201">
        <f>W24*Assumptions!$C21/12</f>
        <v>3750</v>
      </c>
      <c r="X34" s="201">
        <f>X24*Assumptions!$C21/12</f>
        <v>3750</v>
      </c>
      <c r="Y34" s="201">
        <f>Y24*Assumptions!$C21/12</f>
        <v>3750</v>
      </c>
      <c r="Z34" s="201">
        <f>Z24*Assumptions!$C21/12</f>
        <v>3750</v>
      </c>
      <c r="AA34" s="201">
        <f>AA24*Assumptions!$C21/12</f>
        <v>3750</v>
      </c>
      <c r="AB34" s="201">
        <f>AB24*Assumptions!$C21/12</f>
        <v>3750</v>
      </c>
      <c r="AC34" s="201">
        <f>AC24*Assumptions!$C21/12</f>
        <v>3750</v>
      </c>
      <c r="AD34" s="201">
        <f>AD24*Assumptions!$C21/12</f>
        <v>3750</v>
      </c>
      <c r="AE34" s="201">
        <f>AE24*Assumptions!$C21/12</f>
        <v>3750</v>
      </c>
      <c r="AF34" s="201">
        <f>AF24*Assumptions!$C21/12</f>
        <v>3750</v>
      </c>
      <c r="AG34" s="201">
        <f>AG24*Assumptions!$C21/12</f>
        <v>3750</v>
      </c>
      <c r="AH34" s="201">
        <f>AH24*Assumptions!$C21/12</f>
        <v>3750</v>
      </c>
      <c r="AI34" s="201">
        <f>AI24*Assumptions!$C21/12</f>
        <v>3750</v>
      </c>
      <c r="AJ34" s="201">
        <f>AJ24*Assumptions!$C21/12</f>
        <v>3750</v>
      </c>
      <c r="AK34" s="201">
        <f>AK24*Assumptions!$C21/12</f>
        <v>3750</v>
      </c>
      <c r="AL34" s="201">
        <f>AL24*Assumptions!$C21/12</f>
        <v>3750</v>
      </c>
      <c r="AM34" s="201">
        <f>AM24*Assumptions!$C21/12</f>
        <v>3750</v>
      </c>
      <c r="AN34" s="201">
        <f>AN24*Assumptions!$C21/12</f>
        <v>3750</v>
      </c>
      <c r="AO34" s="201">
        <f>AO24*Assumptions!$C21/12</f>
        <v>3750</v>
      </c>
      <c r="AP34" s="201">
        <f>AP24*Assumptions!$C21/12</f>
        <v>3750</v>
      </c>
      <c r="AQ34" s="201">
        <f>AQ24*Assumptions!$C21/12</f>
        <v>3750</v>
      </c>
      <c r="AR34" s="201">
        <f>AR24*Assumptions!$C21/12</f>
        <v>3750</v>
      </c>
      <c r="AS34" s="201">
        <f>AS24*Assumptions!$C21/12</f>
        <v>3750</v>
      </c>
      <c r="AT34" s="201">
        <f>AT24*Assumptions!$C21/12</f>
        <v>3750</v>
      </c>
      <c r="AU34" s="201">
        <f>AU24*Assumptions!$C21/12</f>
        <v>3750</v>
      </c>
      <c r="AV34" s="201">
        <f>AV24*Assumptions!$C21/12</f>
        <v>3750</v>
      </c>
      <c r="AW34" s="201">
        <f>AW24*Assumptions!$C21/12</f>
        <v>3750</v>
      </c>
      <c r="AX34" s="201">
        <f>AX24*Assumptions!$C21/12</f>
        <v>3750</v>
      </c>
      <c r="AY34" s="201">
        <f>AY24*Assumptions!$C21/12</f>
        <v>3750</v>
      </c>
      <c r="AZ34" s="201">
        <f>AZ24*Assumptions!$C21/12</f>
        <v>3750</v>
      </c>
      <c r="BA34" s="201">
        <f>BA24*Assumptions!$C21/12</f>
        <v>3750</v>
      </c>
      <c r="BB34" s="201">
        <f>BB24*Assumptions!$C21/12</f>
        <v>3750</v>
      </c>
      <c r="BC34" s="201">
        <f>BC24*Assumptions!$C21/12</f>
        <v>3750</v>
      </c>
      <c r="BD34" s="201">
        <f>BD24*Assumptions!$C21/12</f>
        <v>3750</v>
      </c>
      <c r="BE34" s="201">
        <f>BE24*Assumptions!$C21/12</f>
        <v>3750</v>
      </c>
      <c r="BF34" s="201">
        <f>BF24*Assumptions!$C21/12</f>
        <v>3750</v>
      </c>
      <c r="BG34" s="201">
        <f>BG24*Assumptions!$C21/12</f>
        <v>3750</v>
      </c>
      <c r="BH34" s="201">
        <f>BH24*Assumptions!$C21/12</f>
        <v>3750</v>
      </c>
      <c r="BI34" s="201">
        <f>BI24*Assumptions!$C21/12</f>
        <v>3750</v>
      </c>
      <c r="BJ34" s="201">
        <f>BJ24*Assumptions!$C21/12</f>
        <v>3750</v>
      </c>
    </row>
    <row r="35" spans="2:62" ht="15.6">
      <c r="B35" s="210" t="str">
        <f t="shared" si="75"/>
        <v>Shop Upgrades</v>
      </c>
      <c r="C35" s="201">
        <f>C25*Assumptions!$C22/12</f>
        <v>2375</v>
      </c>
      <c r="D35" s="201">
        <f>D25*Assumptions!$C22/12</f>
        <v>2375</v>
      </c>
      <c r="E35" s="201">
        <f>E25*Assumptions!$C22/12</f>
        <v>2375</v>
      </c>
      <c r="F35" s="201">
        <f>F25*Assumptions!$C22/12</f>
        <v>2375</v>
      </c>
      <c r="G35" s="201">
        <f>G25*Assumptions!$C22/12</f>
        <v>2375</v>
      </c>
      <c r="H35" s="201">
        <f>H25*Assumptions!$C22/12</f>
        <v>2375</v>
      </c>
      <c r="I35" s="201">
        <f>I25*Assumptions!$C22/12</f>
        <v>2375</v>
      </c>
      <c r="J35" s="201">
        <f>J25*Assumptions!$C22/12</f>
        <v>2375</v>
      </c>
      <c r="K35" s="201">
        <f>K25*Assumptions!$C22/12</f>
        <v>2375</v>
      </c>
      <c r="L35" s="201">
        <f>L25*Assumptions!$C22/12</f>
        <v>2375</v>
      </c>
      <c r="M35" s="201">
        <f>M25*Assumptions!$C22/12</f>
        <v>2375</v>
      </c>
      <c r="N35" s="201">
        <f>N25*Assumptions!$C22/12</f>
        <v>2375</v>
      </c>
      <c r="O35" s="201">
        <f>O25*Assumptions!$C22/12</f>
        <v>2375</v>
      </c>
      <c r="P35" s="201">
        <f>P25*Assumptions!$C22/12</f>
        <v>2375</v>
      </c>
      <c r="Q35" s="201">
        <f>Q25*Assumptions!$C22/12</f>
        <v>2375</v>
      </c>
      <c r="R35" s="201">
        <f>R25*Assumptions!$C22/12</f>
        <v>2375</v>
      </c>
      <c r="S35" s="201">
        <f>S25*Assumptions!$C22/12</f>
        <v>2375</v>
      </c>
      <c r="T35" s="201">
        <f>T25*Assumptions!$C22/12</f>
        <v>2375</v>
      </c>
      <c r="U35" s="201">
        <f>U25*Assumptions!$C22/12</f>
        <v>2375</v>
      </c>
      <c r="V35" s="201">
        <f>V25*Assumptions!$C22/12</f>
        <v>2375</v>
      </c>
      <c r="W35" s="201">
        <f>W25*Assumptions!$C22/12</f>
        <v>2375</v>
      </c>
      <c r="X35" s="201">
        <f>X25*Assumptions!$C22/12</f>
        <v>2375</v>
      </c>
      <c r="Y35" s="201">
        <f>Y25*Assumptions!$C22/12</f>
        <v>2375</v>
      </c>
      <c r="Z35" s="201">
        <f>Z25*Assumptions!$C22/12</f>
        <v>2375</v>
      </c>
      <c r="AA35" s="201">
        <f>AA25*Assumptions!$C22/12</f>
        <v>2375</v>
      </c>
      <c r="AB35" s="201">
        <f>AB25*Assumptions!$C22/12</f>
        <v>2375</v>
      </c>
      <c r="AC35" s="201">
        <f>AC25*Assumptions!$C22/12</f>
        <v>2375</v>
      </c>
      <c r="AD35" s="201">
        <f>AD25*Assumptions!$C22/12</f>
        <v>2375</v>
      </c>
      <c r="AE35" s="201">
        <f>AE25*Assumptions!$C22/12</f>
        <v>2375</v>
      </c>
      <c r="AF35" s="201">
        <f>AF25*Assumptions!$C22/12</f>
        <v>2375</v>
      </c>
      <c r="AG35" s="201">
        <f>AG25*Assumptions!$C22/12</f>
        <v>2375</v>
      </c>
      <c r="AH35" s="201">
        <f>AH25*Assumptions!$C22/12</f>
        <v>2375</v>
      </c>
      <c r="AI35" s="201">
        <f>AI25*Assumptions!$C22/12</f>
        <v>2375</v>
      </c>
      <c r="AJ35" s="201">
        <f>AJ25*Assumptions!$C22/12</f>
        <v>2375</v>
      </c>
      <c r="AK35" s="201">
        <f>AK25*Assumptions!$C22/12</f>
        <v>2375</v>
      </c>
      <c r="AL35" s="201">
        <f>AL25*Assumptions!$C22/12</f>
        <v>2375</v>
      </c>
      <c r="AM35" s="201">
        <f>AM25*Assumptions!$C22/12</f>
        <v>2375</v>
      </c>
      <c r="AN35" s="201">
        <f>AN25*Assumptions!$C22/12</f>
        <v>2375</v>
      </c>
      <c r="AO35" s="201">
        <f>AO25*Assumptions!$C22/12</f>
        <v>2375</v>
      </c>
      <c r="AP35" s="201">
        <f>AP25*Assumptions!$C22/12</f>
        <v>2375</v>
      </c>
      <c r="AQ35" s="201">
        <f>AQ25*Assumptions!$C22/12</f>
        <v>2375</v>
      </c>
      <c r="AR35" s="201">
        <f>AR25*Assumptions!$C22/12</f>
        <v>2375</v>
      </c>
      <c r="AS35" s="201">
        <f>AS25*Assumptions!$C22/12</f>
        <v>2375</v>
      </c>
      <c r="AT35" s="201">
        <f>AT25*Assumptions!$C22/12</f>
        <v>2375</v>
      </c>
      <c r="AU35" s="201">
        <f>AU25*Assumptions!$C22/12</f>
        <v>2375</v>
      </c>
      <c r="AV35" s="201">
        <f>AV25*Assumptions!$C22/12</f>
        <v>2375</v>
      </c>
      <c r="AW35" s="201">
        <f>AW25*Assumptions!$C22/12</f>
        <v>2375</v>
      </c>
      <c r="AX35" s="201">
        <f>AX25*Assumptions!$C22/12</f>
        <v>2375</v>
      </c>
      <c r="AY35" s="201">
        <f>AY25*Assumptions!$C22/12</f>
        <v>2375</v>
      </c>
      <c r="AZ35" s="201">
        <f>AZ25*Assumptions!$C22/12</f>
        <v>2375</v>
      </c>
      <c r="BA35" s="201">
        <f>BA25*Assumptions!$C22/12</f>
        <v>2375</v>
      </c>
      <c r="BB35" s="201">
        <f>BB25*Assumptions!$C22/12</f>
        <v>2375</v>
      </c>
      <c r="BC35" s="201">
        <f>BC25*Assumptions!$C22/12</f>
        <v>2375</v>
      </c>
      <c r="BD35" s="201">
        <f>BD25*Assumptions!$C22/12</f>
        <v>2375</v>
      </c>
      <c r="BE35" s="201">
        <f>BE25*Assumptions!$C22/12</f>
        <v>2375</v>
      </c>
      <c r="BF35" s="201">
        <f>BF25*Assumptions!$C22/12</f>
        <v>2375</v>
      </c>
      <c r="BG35" s="201">
        <f>BG25*Assumptions!$C22/12</f>
        <v>2375</v>
      </c>
      <c r="BH35" s="201">
        <f>BH25*Assumptions!$C22/12</f>
        <v>2375</v>
      </c>
      <c r="BI35" s="201">
        <f>BI25*Assumptions!$C22/12</f>
        <v>2375</v>
      </c>
      <c r="BJ35" s="201">
        <f>BJ25*Assumptions!$C22/12</f>
        <v>2375</v>
      </c>
    </row>
    <row r="36" spans="2:62" ht="15.6" hidden="1">
      <c r="B36" s="210" t="str">
        <f t="shared" si="75"/>
        <v/>
      </c>
      <c r="C36" s="201">
        <f>C26*Assumptions!$C23/12</f>
        <v>0</v>
      </c>
      <c r="D36" s="201">
        <f>D26*Assumptions!$C23/12</f>
        <v>0</v>
      </c>
      <c r="E36" s="201">
        <f>E26*Assumptions!$C23/12</f>
        <v>0</v>
      </c>
      <c r="F36" s="201">
        <f>F26*Assumptions!$C23/12</f>
        <v>0</v>
      </c>
      <c r="G36" s="201">
        <f>G26*Assumptions!$C23/12</f>
        <v>0</v>
      </c>
      <c r="H36" s="201">
        <f>H26*Assumptions!$C23/12</f>
        <v>0</v>
      </c>
      <c r="I36" s="201">
        <f>I26*Assumptions!$C23/12</f>
        <v>0</v>
      </c>
      <c r="J36" s="201">
        <f>J26*Assumptions!$C23/12</f>
        <v>0</v>
      </c>
      <c r="K36" s="201">
        <f>K26*Assumptions!$C23/12</f>
        <v>0</v>
      </c>
      <c r="L36" s="201">
        <f>L26*Assumptions!$C23/12</f>
        <v>0</v>
      </c>
      <c r="M36" s="201">
        <f>M26*Assumptions!$C23/12</f>
        <v>0</v>
      </c>
      <c r="N36" s="201">
        <f>N26*Assumptions!$C23/12</f>
        <v>0</v>
      </c>
      <c r="O36" s="201">
        <f>O26*Assumptions!$C23/12</f>
        <v>0</v>
      </c>
      <c r="P36" s="201">
        <f>P26*Assumptions!$C23/12</f>
        <v>0</v>
      </c>
      <c r="Q36" s="201">
        <f>Q26*Assumptions!$C23/12</f>
        <v>0</v>
      </c>
      <c r="R36" s="201">
        <f>R26*Assumptions!$C23/12</f>
        <v>0</v>
      </c>
      <c r="S36" s="201">
        <f>S26*Assumptions!$C23/12</f>
        <v>0</v>
      </c>
      <c r="T36" s="201">
        <f>T26*Assumptions!$C23/12</f>
        <v>0</v>
      </c>
      <c r="U36" s="201">
        <f>U26*Assumptions!$C23/12</f>
        <v>0</v>
      </c>
      <c r="V36" s="201">
        <f>V26*Assumptions!$C23/12</f>
        <v>0</v>
      </c>
      <c r="W36" s="201">
        <f>W26*Assumptions!$C23/12</f>
        <v>0</v>
      </c>
      <c r="X36" s="201">
        <f>X26*Assumptions!$C23/12</f>
        <v>0</v>
      </c>
      <c r="Y36" s="201">
        <f>Y26*Assumptions!$C23/12</f>
        <v>0</v>
      </c>
      <c r="Z36" s="201">
        <f>Z26*Assumptions!$C23/12</f>
        <v>0</v>
      </c>
      <c r="AA36" s="201">
        <f>AA26*Assumptions!$C23/12</f>
        <v>0</v>
      </c>
      <c r="AB36" s="201">
        <f>AB26*Assumptions!$C23/12</f>
        <v>0</v>
      </c>
      <c r="AC36" s="201">
        <f>AC26*Assumptions!$C23/12</f>
        <v>0</v>
      </c>
      <c r="AD36" s="201">
        <f>AD26*Assumptions!$C23/12</f>
        <v>0</v>
      </c>
      <c r="AE36" s="201">
        <f>AE26*Assumptions!$C23/12</f>
        <v>0</v>
      </c>
      <c r="AF36" s="201">
        <f>AF26*Assumptions!$C23/12</f>
        <v>0</v>
      </c>
      <c r="AG36" s="201">
        <f>AG26*Assumptions!$C23/12</f>
        <v>0</v>
      </c>
      <c r="AH36" s="201">
        <f>AH26*Assumptions!$C23/12</f>
        <v>0</v>
      </c>
      <c r="AI36" s="201">
        <f>AI26*Assumptions!$C23/12</f>
        <v>0</v>
      </c>
      <c r="AJ36" s="201">
        <f>AJ26*Assumptions!$C23/12</f>
        <v>0</v>
      </c>
      <c r="AK36" s="201">
        <f>AK26*Assumptions!$C23/12</f>
        <v>0</v>
      </c>
      <c r="AL36" s="201">
        <f>AL26*Assumptions!$C23/12</f>
        <v>0</v>
      </c>
      <c r="AM36" s="201">
        <f>AM26*Assumptions!$C23/12</f>
        <v>0</v>
      </c>
      <c r="AN36" s="201">
        <f>AN26*Assumptions!$C23/12</f>
        <v>0</v>
      </c>
      <c r="AO36" s="201">
        <f>AO26*Assumptions!$C23/12</f>
        <v>0</v>
      </c>
      <c r="AP36" s="201">
        <f>AP26*Assumptions!$C23/12</f>
        <v>0</v>
      </c>
      <c r="AQ36" s="201">
        <f>AQ26*Assumptions!$C23/12</f>
        <v>0</v>
      </c>
      <c r="AR36" s="201">
        <f>AR26*Assumptions!$C23/12</f>
        <v>0</v>
      </c>
      <c r="AS36" s="201">
        <f>AS26*Assumptions!$C23/12</f>
        <v>0</v>
      </c>
      <c r="AT36" s="201">
        <f>AT26*Assumptions!$C23/12</f>
        <v>0</v>
      </c>
      <c r="AU36" s="201">
        <f>AU26*Assumptions!$C23/12</f>
        <v>0</v>
      </c>
      <c r="AV36" s="201">
        <f>AV26*Assumptions!$C23/12</f>
        <v>0</v>
      </c>
      <c r="AW36" s="201">
        <f>AW26*Assumptions!$C23/12</f>
        <v>0</v>
      </c>
      <c r="AX36" s="201">
        <f>AX26*Assumptions!$C23/12</f>
        <v>0</v>
      </c>
      <c r="AY36" s="201">
        <f>AY26*Assumptions!$C23/12</f>
        <v>0</v>
      </c>
      <c r="AZ36" s="201">
        <f>AZ26*Assumptions!$C23/12</f>
        <v>0</v>
      </c>
      <c r="BA36" s="201">
        <f>BA26*Assumptions!$C23/12</f>
        <v>0</v>
      </c>
      <c r="BB36" s="201">
        <f>BB26*Assumptions!$C23/12</f>
        <v>0</v>
      </c>
      <c r="BC36" s="201">
        <f>BC26*Assumptions!$C23/12</f>
        <v>0</v>
      </c>
      <c r="BD36" s="201">
        <f>BD26*Assumptions!$C23/12</f>
        <v>0</v>
      </c>
      <c r="BE36" s="201">
        <f>BE26*Assumptions!$C23/12</f>
        <v>0</v>
      </c>
      <c r="BF36" s="201">
        <f>BF26*Assumptions!$C23/12</f>
        <v>0</v>
      </c>
      <c r="BG36" s="201">
        <f>BG26*Assumptions!$C23/12</f>
        <v>0</v>
      </c>
      <c r="BH36" s="201">
        <f>BH26*Assumptions!$C23/12</f>
        <v>0</v>
      </c>
      <c r="BI36" s="201">
        <f>BI26*Assumptions!$C23/12</f>
        <v>0</v>
      </c>
      <c r="BJ36" s="201">
        <f>BJ26*Assumptions!$C23/12</f>
        <v>0</v>
      </c>
    </row>
    <row r="37" spans="2:62" ht="15.6" hidden="1">
      <c r="B37" s="210" t="str">
        <f t="shared" si="75"/>
        <v/>
      </c>
      <c r="C37" s="201">
        <f>C27*Assumptions!$C24/12</f>
        <v>0</v>
      </c>
      <c r="D37" s="201">
        <f>D27*Assumptions!$C24/12</f>
        <v>0</v>
      </c>
      <c r="E37" s="201">
        <f>E27*Assumptions!$C24/12</f>
        <v>0</v>
      </c>
      <c r="F37" s="201">
        <f>F27*Assumptions!$C24/12</f>
        <v>0</v>
      </c>
      <c r="G37" s="201">
        <f>G27*Assumptions!$C24/12</f>
        <v>0</v>
      </c>
      <c r="H37" s="201">
        <f>H27*Assumptions!$C24/12</f>
        <v>0</v>
      </c>
      <c r="I37" s="201">
        <f>I27*Assumptions!$C24/12</f>
        <v>0</v>
      </c>
      <c r="J37" s="201">
        <f>J27*Assumptions!$C24/12</f>
        <v>0</v>
      </c>
      <c r="K37" s="201">
        <f>K27*Assumptions!$C24/12</f>
        <v>0</v>
      </c>
      <c r="L37" s="201">
        <f>L27*Assumptions!$C24/12</f>
        <v>0</v>
      </c>
      <c r="M37" s="201">
        <f>M27*Assumptions!$C24/12</f>
        <v>0</v>
      </c>
      <c r="N37" s="201">
        <f>N27*Assumptions!$C24/12</f>
        <v>0</v>
      </c>
      <c r="O37" s="201">
        <f>O27*Assumptions!$C24/12</f>
        <v>0</v>
      </c>
      <c r="P37" s="201">
        <f>P27*Assumptions!$C24/12</f>
        <v>0</v>
      </c>
      <c r="Q37" s="201">
        <f>Q27*Assumptions!$C24/12</f>
        <v>0</v>
      </c>
      <c r="R37" s="201">
        <f>R27*Assumptions!$C24/12</f>
        <v>0</v>
      </c>
      <c r="S37" s="201">
        <f>S27*Assumptions!$C24/12</f>
        <v>0</v>
      </c>
      <c r="T37" s="201">
        <f>T27*Assumptions!$C24/12</f>
        <v>0</v>
      </c>
      <c r="U37" s="201">
        <f>U27*Assumptions!$C24/12</f>
        <v>0</v>
      </c>
      <c r="V37" s="201">
        <f>V27*Assumptions!$C24/12</f>
        <v>0</v>
      </c>
      <c r="W37" s="201">
        <f>W27*Assumptions!$C24/12</f>
        <v>0</v>
      </c>
      <c r="X37" s="201">
        <f>X27*Assumptions!$C24/12</f>
        <v>0</v>
      </c>
      <c r="Y37" s="201">
        <f>Y27*Assumptions!$C24/12</f>
        <v>0</v>
      </c>
      <c r="Z37" s="201">
        <f>Z27*Assumptions!$C24/12</f>
        <v>0</v>
      </c>
      <c r="AA37" s="201">
        <f>AA27*Assumptions!$C24/12</f>
        <v>0</v>
      </c>
      <c r="AB37" s="201">
        <f>AB27*Assumptions!$C24/12</f>
        <v>0</v>
      </c>
      <c r="AC37" s="201">
        <f>AC27*Assumptions!$C24/12</f>
        <v>0</v>
      </c>
      <c r="AD37" s="201">
        <f>AD27*Assumptions!$C24/12</f>
        <v>0</v>
      </c>
      <c r="AE37" s="201">
        <f>AE27*Assumptions!$C24/12</f>
        <v>0</v>
      </c>
      <c r="AF37" s="201">
        <f>AF27*Assumptions!$C24/12</f>
        <v>0</v>
      </c>
      <c r="AG37" s="201">
        <f>AG27*Assumptions!$C24/12</f>
        <v>0</v>
      </c>
      <c r="AH37" s="201">
        <f>AH27*Assumptions!$C24/12</f>
        <v>0</v>
      </c>
      <c r="AI37" s="201">
        <f>AI27*Assumptions!$C24/12</f>
        <v>0</v>
      </c>
      <c r="AJ37" s="201">
        <f>AJ27*Assumptions!$C24/12</f>
        <v>0</v>
      </c>
      <c r="AK37" s="201">
        <f>AK27*Assumptions!$C24/12</f>
        <v>0</v>
      </c>
      <c r="AL37" s="201">
        <f>AL27*Assumptions!$C24/12</f>
        <v>0</v>
      </c>
      <c r="AM37" s="201">
        <f>AM27*Assumptions!$C24/12</f>
        <v>0</v>
      </c>
      <c r="AN37" s="201">
        <f>AN27*Assumptions!$C24/12</f>
        <v>0</v>
      </c>
      <c r="AO37" s="201">
        <f>AO27*Assumptions!$C24/12</f>
        <v>0</v>
      </c>
      <c r="AP37" s="201">
        <f>AP27*Assumptions!$C24/12</f>
        <v>0</v>
      </c>
      <c r="AQ37" s="201">
        <f>AQ27*Assumptions!$C24/12</f>
        <v>0</v>
      </c>
      <c r="AR37" s="201">
        <f>AR27*Assumptions!$C24/12</f>
        <v>0</v>
      </c>
      <c r="AS37" s="201">
        <f>AS27*Assumptions!$C24/12</f>
        <v>0</v>
      </c>
      <c r="AT37" s="201">
        <f>AT27*Assumptions!$C24/12</f>
        <v>0</v>
      </c>
      <c r="AU37" s="201">
        <f>AU27*Assumptions!$C24/12</f>
        <v>0</v>
      </c>
      <c r="AV37" s="201">
        <f>AV27*Assumptions!$C24/12</f>
        <v>0</v>
      </c>
      <c r="AW37" s="201">
        <f>AW27*Assumptions!$C24/12</f>
        <v>0</v>
      </c>
      <c r="AX37" s="201">
        <f>AX27*Assumptions!$C24/12</f>
        <v>0</v>
      </c>
      <c r="AY37" s="201">
        <f>AY27*Assumptions!$C24/12</f>
        <v>0</v>
      </c>
      <c r="AZ37" s="201">
        <f>AZ27*Assumptions!$C24/12</f>
        <v>0</v>
      </c>
      <c r="BA37" s="201">
        <f>BA27*Assumptions!$C24/12</f>
        <v>0</v>
      </c>
      <c r="BB37" s="201">
        <f>BB27*Assumptions!$C24/12</f>
        <v>0</v>
      </c>
      <c r="BC37" s="201">
        <f>BC27*Assumptions!$C24/12</f>
        <v>0</v>
      </c>
      <c r="BD37" s="201">
        <f>BD27*Assumptions!$C24/12</f>
        <v>0</v>
      </c>
      <c r="BE37" s="201">
        <f>BE27*Assumptions!$C24/12</f>
        <v>0</v>
      </c>
      <c r="BF37" s="201">
        <f>BF27*Assumptions!$C24/12</f>
        <v>0</v>
      </c>
      <c r="BG37" s="201">
        <f>BG27*Assumptions!$C24/12</f>
        <v>0</v>
      </c>
      <c r="BH37" s="201">
        <f>BH27*Assumptions!$C24/12</f>
        <v>0</v>
      </c>
      <c r="BI37" s="201">
        <f>BI27*Assumptions!$C24/12</f>
        <v>0</v>
      </c>
      <c r="BJ37" s="201">
        <f>BJ27*Assumptions!$C24/12</f>
        <v>0</v>
      </c>
    </row>
    <row r="38" spans="2:62" ht="15.6" hidden="1">
      <c r="B38" s="210"/>
      <c r="C38" s="201"/>
      <c r="D38" s="201"/>
      <c r="E38" s="201"/>
      <c r="F38" s="201"/>
      <c r="G38" s="201"/>
      <c r="H38" s="201"/>
      <c r="I38" s="201"/>
      <c r="J38" s="201"/>
      <c r="K38" s="201"/>
      <c r="L38" s="201"/>
      <c r="M38" s="201"/>
      <c r="N38" s="201"/>
      <c r="O38" s="201"/>
      <c r="P38" s="201"/>
      <c r="Q38" s="201"/>
      <c r="R38" s="201"/>
      <c r="S38" s="201"/>
      <c r="T38" s="201"/>
      <c r="U38" s="201"/>
      <c r="V38" s="201"/>
      <c r="W38" s="201"/>
      <c r="X38" s="201"/>
      <c r="Y38" s="201"/>
      <c r="Z38" s="201"/>
      <c r="AA38" s="201"/>
      <c r="AB38" s="201"/>
      <c r="AC38" s="201"/>
      <c r="AD38" s="201"/>
      <c r="AE38" s="201"/>
      <c r="AF38" s="201"/>
      <c r="AG38" s="201"/>
      <c r="AH38" s="201"/>
      <c r="AI38" s="201"/>
      <c r="AJ38" s="201"/>
      <c r="AK38" s="201"/>
      <c r="AL38" s="201"/>
      <c r="AM38" s="201"/>
      <c r="AN38" s="201"/>
      <c r="AO38" s="201"/>
      <c r="AP38" s="201"/>
      <c r="AQ38" s="201"/>
      <c r="AR38" s="201"/>
      <c r="AS38" s="201"/>
      <c r="AT38" s="201"/>
      <c r="AU38" s="201"/>
      <c r="AV38" s="201"/>
      <c r="AW38" s="201"/>
      <c r="AX38" s="201"/>
      <c r="AY38" s="201"/>
      <c r="AZ38" s="201"/>
      <c r="BA38" s="201"/>
      <c r="BB38" s="201"/>
      <c r="BC38" s="201"/>
      <c r="BD38" s="201"/>
      <c r="BE38" s="201"/>
      <c r="BF38" s="201"/>
      <c r="BG38" s="201"/>
      <c r="BH38" s="201"/>
      <c r="BI38" s="201"/>
      <c r="BJ38" s="201"/>
    </row>
    <row r="39" spans="2:62" ht="15.6">
      <c r="B39" s="94" t="s">
        <v>26</v>
      </c>
      <c r="C39" s="209">
        <f>SUM(C33:C38)</f>
        <v>11125</v>
      </c>
      <c r="D39" s="209">
        <f t="shared" ref="D39" si="76">SUM(D33:D38)</f>
        <v>11125</v>
      </c>
      <c r="E39" s="209">
        <f t="shared" ref="E39" si="77">SUM(E33:E38)</f>
        <v>11125</v>
      </c>
      <c r="F39" s="209">
        <f t="shared" ref="F39" si="78">SUM(F33:F38)</f>
        <v>11125</v>
      </c>
      <c r="G39" s="209">
        <f t="shared" ref="G39" si="79">SUM(G33:G38)</f>
        <v>11125</v>
      </c>
      <c r="H39" s="209">
        <f t="shared" ref="H39" si="80">SUM(H33:H38)</f>
        <v>11125</v>
      </c>
      <c r="I39" s="209">
        <f t="shared" ref="I39" si="81">SUM(I33:I38)</f>
        <v>11125</v>
      </c>
      <c r="J39" s="209">
        <f t="shared" ref="J39" si="82">SUM(J33:J38)</f>
        <v>11125</v>
      </c>
      <c r="K39" s="209">
        <f t="shared" ref="K39" si="83">SUM(K33:K38)</f>
        <v>11125</v>
      </c>
      <c r="L39" s="209">
        <f t="shared" ref="L39" si="84">SUM(L33:L38)</f>
        <v>11125</v>
      </c>
      <c r="M39" s="209">
        <f t="shared" ref="M39" si="85">SUM(M33:M38)</f>
        <v>11125</v>
      </c>
      <c r="N39" s="209">
        <f t="shared" ref="N39" si="86">SUM(N33:N38)</f>
        <v>11125</v>
      </c>
      <c r="O39" s="209">
        <f t="shared" ref="O39" si="87">SUM(O33:O38)</f>
        <v>11125</v>
      </c>
      <c r="P39" s="209">
        <f t="shared" ref="P39" si="88">SUM(P33:P38)</f>
        <v>11125</v>
      </c>
      <c r="Q39" s="209">
        <f t="shared" ref="Q39" si="89">SUM(Q33:Q38)</f>
        <v>11125</v>
      </c>
      <c r="R39" s="209">
        <f t="shared" ref="R39" si="90">SUM(R33:R38)</f>
        <v>11125</v>
      </c>
      <c r="S39" s="209">
        <f t="shared" ref="S39" si="91">SUM(S33:S38)</f>
        <v>11125</v>
      </c>
      <c r="T39" s="209">
        <f t="shared" ref="T39" si="92">SUM(T33:T38)</f>
        <v>11125</v>
      </c>
      <c r="U39" s="209">
        <f t="shared" ref="U39" si="93">SUM(U33:U38)</f>
        <v>11125</v>
      </c>
      <c r="V39" s="209">
        <f t="shared" ref="V39" si="94">SUM(V33:V38)</f>
        <v>11125</v>
      </c>
      <c r="W39" s="209">
        <f t="shared" ref="W39" si="95">SUM(W33:W38)</f>
        <v>11125</v>
      </c>
      <c r="X39" s="209">
        <f t="shared" ref="X39" si="96">SUM(X33:X38)</f>
        <v>11125</v>
      </c>
      <c r="Y39" s="209">
        <f t="shared" ref="Y39" si="97">SUM(Y33:Y38)</f>
        <v>11125</v>
      </c>
      <c r="Z39" s="209">
        <f t="shared" ref="Z39" si="98">SUM(Z33:Z38)</f>
        <v>11125</v>
      </c>
      <c r="AA39" s="209">
        <f t="shared" ref="AA39" si="99">SUM(AA33:AA38)</f>
        <v>11125</v>
      </c>
      <c r="AB39" s="209">
        <f t="shared" ref="AB39" si="100">SUM(AB33:AB38)</f>
        <v>11125</v>
      </c>
      <c r="AC39" s="209">
        <f t="shared" ref="AC39" si="101">SUM(AC33:AC38)</f>
        <v>11125</v>
      </c>
      <c r="AD39" s="209">
        <f t="shared" ref="AD39" si="102">SUM(AD33:AD38)</f>
        <v>11125</v>
      </c>
      <c r="AE39" s="209">
        <f t="shared" ref="AE39" si="103">SUM(AE33:AE38)</f>
        <v>11125</v>
      </c>
      <c r="AF39" s="209">
        <f t="shared" ref="AF39" si="104">SUM(AF33:AF38)</f>
        <v>11125</v>
      </c>
      <c r="AG39" s="209">
        <f t="shared" ref="AG39" si="105">SUM(AG33:AG38)</f>
        <v>11125</v>
      </c>
      <c r="AH39" s="209">
        <f t="shared" ref="AH39" si="106">SUM(AH33:AH38)</f>
        <v>11125</v>
      </c>
      <c r="AI39" s="209">
        <f t="shared" ref="AI39" si="107">SUM(AI33:AI38)</f>
        <v>11125</v>
      </c>
      <c r="AJ39" s="209">
        <f t="shared" ref="AJ39" si="108">SUM(AJ33:AJ38)</f>
        <v>11125</v>
      </c>
      <c r="AK39" s="209">
        <f t="shared" ref="AK39" si="109">SUM(AK33:AK38)</f>
        <v>11125</v>
      </c>
      <c r="AL39" s="209">
        <f t="shared" ref="AL39" si="110">SUM(AL33:AL38)</f>
        <v>11125</v>
      </c>
      <c r="AM39" s="209">
        <f t="shared" ref="AM39" si="111">SUM(AM33:AM38)</f>
        <v>11125</v>
      </c>
      <c r="AN39" s="209">
        <f t="shared" ref="AN39" si="112">SUM(AN33:AN38)</f>
        <v>11125</v>
      </c>
      <c r="AO39" s="209">
        <f t="shared" ref="AO39" si="113">SUM(AO33:AO38)</f>
        <v>11125</v>
      </c>
      <c r="AP39" s="209">
        <f t="shared" ref="AP39" si="114">SUM(AP33:AP38)</f>
        <v>11125</v>
      </c>
      <c r="AQ39" s="209">
        <f t="shared" ref="AQ39" si="115">SUM(AQ33:AQ38)</f>
        <v>11125</v>
      </c>
      <c r="AR39" s="209">
        <f t="shared" ref="AR39" si="116">SUM(AR33:AR38)</f>
        <v>11125</v>
      </c>
      <c r="AS39" s="209">
        <f t="shared" ref="AS39" si="117">SUM(AS33:AS38)</f>
        <v>11125</v>
      </c>
      <c r="AT39" s="209">
        <f t="shared" ref="AT39" si="118">SUM(AT33:AT38)</f>
        <v>11125</v>
      </c>
      <c r="AU39" s="209">
        <f t="shared" ref="AU39" si="119">SUM(AU33:AU38)</f>
        <v>11125</v>
      </c>
      <c r="AV39" s="209">
        <f t="shared" ref="AV39" si="120">SUM(AV33:AV38)</f>
        <v>11125</v>
      </c>
      <c r="AW39" s="209">
        <f t="shared" ref="AW39" si="121">SUM(AW33:AW38)</f>
        <v>11125</v>
      </c>
      <c r="AX39" s="209">
        <f t="shared" ref="AX39" si="122">SUM(AX33:AX38)</f>
        <v>11125</v>
      </c>
      <c r="AY39" s="209">
        <f t="shared" ref="AY39" si="123">SUM(AY33:AY38)</f>
        <v>11125</v>
      </c>
      <c r="AZ39" s="209">
        <f t="shared" ref="AZ39" si="124">SUM(AZ33:AZ38)</f>
        <v>11125</v>
      </c>
      <c r="BA39" s="209">
        <f t="shared" ref="BA39" si="125">SUM(BA33:BA38)</f>
        <v>11125</v>
      </c>
      <c r="BB39" s="209">
        <f t="shared" ref="BB39" si="126">SUM(BB33:BB38)</f>
        <v>11125</v>
      </c>
      <c r="BC39" s="209">
        <f t="shared" ref="BC39" si="127">SUM(BC33:BC38)</f>
        <v>11125</v>
      </c>
      <c r="BD39" s="209">
        <f t="shared" ref="BD39" si="128">SUM(BD33:BD38)</f>
        <v>11125</v>
      </c>
      <c r="BE39" s="209">
        <f t="shared" ref="BE39" si="129">SUM(BE33:BE38)</f>
        <v>11125</v>
      </c>
      <c r="BF39" s="209">
        <f t="shared" ref="BF39" si="130">SUM(BF33:BF38)</f>
        <v>11125</v>
      </c>
      <c r="BG39" s="209">
        <f t="shared" ref="BG39" si="131">SUM(BG33:BG38)</f>
        <v>11125</v>
      </c>
      <c r="BH39" s="209">
        <f t="shared" ref="BH39" si="132">SUM(BH33:BH38)</f>
        <v>11125</v>
      </c>
      <c r="BI39" s="209">
        <f t="shared" ref="BI39" si="133">SUM(BI33:BI38)</f>
        <v>11125</v>
      </c>
      <c r="BJ39" s="209">
        <f t="shared" ref="BJ39" si="134">SUM(BJ33:BJ38)</f>
        <v>11125</v>
      </c>
    </row>
    <row r="42" spans="2:62" ht="17.399999999999999">
      <c r="B42" s="102" t="s">
        <v>109</v>
      </c>
      <c r="C42" s="171" t="s">
        <v>15</v>
      </c>
      <c r="D42" s="171" t="s">
        <v>41</v>
      </c>
      <c r="E42" s="171" t="s">
        <v>42</v>
      </c>
      <c r="F42" s="171" t="s">
        <v>43</v>
      </c>
      <c r="G42" s="171" t="s">
        <v>44</v>
      </c>
      <c r="H42" s="171" t="s">
        <v>45</v>
      </c>
      <c r="I42" s="171" t="s">
        <v>46</v>
      </c>
      <c r="J42" s="171" t="s">
        <v>47</v>
      </c>
      <c r="K42" s="171" t="s">
        <v>48</v>
      </c>
      <c r="L42" s="171" t="s">
        <v>49</v>
      </c>
      <c r="M42" s="171" t="s">
        <v>50</v>
      </c>
      <c r="N42" s="171" t="s">
        <v>51</v>
      </c>
      <c r="O42" s="171" t="s">
        <v>20</v>
      </c>
      <c r="P42" s="171" t="s">
        <v>52</v>
      </c>
      <c r="Q42" s="171" t="s">
        <v>53</v>
      </c>
      <c r="R42" s="171" t="s">
        <v>54</v>
      </c>
      <c r="S42" s="171" t="s">
        <v>55</v>
      </c>
      <c r="T42" s="171" t="s">
        <v>56</v>
      </c>
      <c r="U42" s="171" t="s">
        <v>57</v>
      </c>
      <c r="V42" s="171" t="s">
        <v>58</v>
      </c>
      <c r="W42" s="171" t="s">
        <v>59</v>
      </c>
      <c r="X42" s="171" t="s">
        <v>60</v>
      </c>
      <c r="Y42" s="171" t="s">
        <v>61</v>
      </c>
      <c r="Z42" s="171" t="s">
        <v>62</v>
      </c>
      <c r="AA42" s="171" t="s">
        <v>63</v>
      </c>
      <c r="AB42" s="171" t="s">
        <v>64</v>
      </c>
      <c r="AC42" s="171" t="s">
        <v>65</v>
      </c>
      <c r="AD42" s="171" t="s">
        <v>66</v>
      </c>
      <c r="AE42" s="171" t="s">
        <v>67</v>
      </c>
      <c r="AF42" s="171" t="s">
        <v>68</v>
      </c>
      <c r="AG42" s="171" t="s">
        <v>69</v>
      </c>
      <c r="AH42" s="171" t="s">
        <v>70</v>
      </c>
      <c r="AI42" s="171" t="s">
        <v>71</v>
      </c>
      <c r="AJ42" s="171" t="s">
        <v>72</v>
      </c>
      <c r="AK42" s="171" t="s">
        <v>73</v>
      </c>
      <c r="AL42" s="171" t="s">
        <v>74</v>
      </c>
      <c r="AM42" s="171" t="s">
        <v>75</v>
      </c>
      <c r="AN42" s="171" t="s">
        <v>76</v>
      </c>
      <c r="AO42" s="171" t="s">
        <v>77</v>
      </c>
      <c r="AP42" s="171" t="s">
        <v>78</v>
      </c>
      <c r="AQ42" s="171" t="s">
        <v>79</v>
      </c>
      <c r="AR42" s="171" t="s">
        <v>80</v>
      </c>
      <c r="AS42" s="171" t="s">
        <v>81</v>
      </c>
      <c r="AT42" s="171" t="s">
        <v>82</v>
      </c>
      <c r="AU42" s="171" t="s">
        <v>83</v>
      </c>
      <c r="AV42" s="171" t="s">
        <v>84</v>
      </c>
      <c r="AW42" s="171" t="s">
        <v>85</v>
      </c>
      <c r="AX42" s="171" t="s">
        <v>86</v>
      </c>
      <c r="AY42" s="171" t="s">
        <v>87</v>
      </c>
      <c r="AZ42" s="171" t="s">
        <v>88</v>
      </c>
      <c r="BA42" s="171" t="s">
        <v>89</v>
      </c>
      <c r="BB42" s="171" t="s">
        <v>90</v>
      </c>
      <c r="BC42" s="171" t="s">
        <v>91</v>
      </c>
      <c r="BD42" s="171" t="s">
        <v>92</v>
      </c>
      <c r="BE42" s="171" t="s">
        <v>93</v>
      </c>
      <c r="BF42" s="171" t="s">
        <v>94</v>
      </c>
      <c r="BG42" s="171" t="s">
        <v>95</v>
      </c>
      <c r="BH42" s="171" t="s">
        <v>96</v>
      </c>
      <c r="BI42" s="171" t="s">
        <v>97</v>
      </c>
      <c r="BJ42" s="171" t="s">
        <v>98</v>
      </c>
    </row>
    <row r="43" spans="2:62" ht="15.6">
      <c r="B43" s="210" t="str">
        <f>B33</f>
        <v>Metal Fabrication Shop Acquisition</v>
      </c>
      <c r="C43" s="201">
        <f>C33</f>
        <v>5000</v>
      </c>
      <c r="D43" s="201">
        <f>C43+D33</f>
        <v>10000</v>
      </c>
      <c r="E43" s="201">
        <f t="shared" ref="E43:BJ47" si="135">D43+E33</f>
        <v>15000</v>
      </c>
      <c r="F43" s="201">
        <f t="shared" si="135"/>
        <v>20000</v>
      </c>
      <c r="G43" s="201">
        <f t="shared" si="135"/>
        <v>25000</v>
      </c>
      <c r="H43" s="201">
        <f t="shared" si="135"/>
        <v>30000</v>
      </c>
      <c r="I43" s="201">
        <f t="shared" si="135"/>
        <v>35000</v>
      </c>
      <c r="J43" s="201">
        <f t="shared" si="135"/>
        <v>40000</v>
      </c>
      <c r="K43" s="201">
        <f t="shared" si="135"/>
        <v>45000</v>
      </c>
      <c r="L43" s="201">
        <f t="shared" si="135"/>
        <v>50000</v>
      </c>
      <c r="M43" s="201">
        <f t="shared" si="135"/>
        <v>55000</v>
      </c>
      <c r="N43" s="201">
        <f t="shared" si="135"/>
        <v>60000</v>
      </c>
      <c r="O43" s="201">
        <f t="shared" si="135"/>
        <v>65000</v>
      </c>
      <c r="P43" s="201">
        <f t="shared" si="135"/>
        <v>70000</v>
      </c>
      <c r="Q43" s="201">
        <f t="shared" si="135"/>
        <v>75000</v>
      </c>
      <c r="R43" s="201">
        <f t="shared" si="135"/>
        <v>80000</v>
      </c>
      <c r="S43" s="201">
        <f t="shared" si="135"/>
        <v>85000</v>
      </c>
      <c r="T43" s="201">
        <f t="shared" si="135"/>
        <v>90000</v>
      </c>
      <c r="U43" s="201">
        <f t="shared" si="135"/>
        <v>95000</v>
      </c>
      <c r="V43" s="201">
        <f t="shared" si="135"/>
        <v>100000</v>
      </c>
      <c r="W43" s="201">
        <f t="shared" si="135"/>
        <v>105000</v>
      </c>
      <c r="X43" s="201">
        <f t="shared" si="135"/>
        <v>110000</v>
      </c>
      <c r="Y43" s="201">
        <f t="shared" si="135"/>
        <v>115000</v>
      </c>
      <c r="Z43" s="201">
        <f t="shared" si="135"/>
        <v>120000</v>
      </c>
      <c r="AA43" s="201">
        <f t="shared" si="135"/>
        <v>125000</v>
      </c>
      <c r="AB43" s="201">
        <f t="shared" si="135"/>
        <v>130000</v>
      </c>
      <c r="AC43" s="201">
        <f t="shared" si="135"/>
        <v>135000</v>
      </c>
      <c r="AD43" s="201">
        <f t="shared" si="135"/>
        <v>140000</v>
      </c>
      <c r="AE43" s="201">
        <f t="shared" si="135"/>
        <v>145000</v>
      </c>
      <c r="AF43" s="201">
        <f t="shared" si="135"/>
        <v>150000</v>
      </c>
      <c r="AG43" s="201">
        <f t="shared" si="135"/>
        <v>155000</v>
      </c>
      <c r="AH43" s="201">
        <f t="shared" si="135"/>
        <v>160000</v>
      </c>
      <c r="AI43" s="201">
        <f t="shared" si="135"/>
        <v>165000</v>
      </c>
      <c r="AJ43" s="201">
        <f t="shared" si="135"/>
        <v>170000</v>
      </c>
      <c r="AK43" s="201">
        <f t="shared" si="135"/>
        <v>175000</v>
      </c>
      <c r="AL43" s="201">
        <f t="shared" si="135"/>
        <v>180000</v>
      </c>
      <c r="AM43" s="201">
        <f t="shared" si="135"/>
        <v>185000</v>
      </c>
      <c r="AN43" s="201">
        <f t="shared" si="135"/>
        <v>190000</v>
      </c>
      <c r="AO43" s="201">
        <f t="shared" si="135"/>
        <v>195000</v>
      </c>
      <c r="AP43" s="201">
        <f t="shared" si="135"/>
        <v>200000</v>
      </c>
      <c r="AQ43" s="201">
        <f t="shared" si="135"/>
        <v>205000</v>
      </c>
      <c r="AR43" s="201">
        <f t="shared" si="135"/>
        <v>210000</v>
      </c>
      <c r="AS43" s="201">
        <f t="shared" si="135"/>
        <v>215000</v>
      </c>
      <c r="AT43" s="201">
        <f t="shared" si="135"/>
        <v>220000</v>
      </c>
      <c r="AU43" s="201">
        <f t="shared" si="135"/>
        <v>225000</v>
      </c>
      <c r="AV43" s="201">
        <f t="shared" si="135"/>
        <v>230000</v>
      </c>
      <c r="AW43" s="201">
        <f t="shared" si="135"/>
        <v>235000</v>
      </c>
      <c r="AX43" s="201">
        <f t="shared" si="135"/>
        <v>240000</v>
      </c>
      <c r="AY43" s="201">
        <f t="shared" si="135"/>
        <v>245000</v>
      </c>
      <c r="AZ43" s="201">
        <f t="shared" si="135"/>
        <v>250000</v>
      </c>
      <c r="BA43" s="201">
        <f t="shared" si="135"/>
        <v>255000</v>
      </c>
      <c r="BB43" s="201">
        <f t="shared" si="135"/>
        <v>260000</v>
      </c>
      <c r="BC43" s="201">
        <f t="shared" si="135"/>
        <v>265000</v>
      </c>
      <c r="BD43" s="201">
        <f t="shared" si="135"/>
        <v>270000</v>
      </c>
      <c r="BE43" s="201">
        <f t="shared" si="135"/>
        <v>275000</v>
      </c>
      <c r="BF43" s="201">
        <f t="shared" si="135"/>
        <v>280000</v>
      </c>
      <c r="BG43" s="201">
        <f t="shared" si="135"/>
        <v>285000</v>
      </c>
      <c r="BH43" s="201">
        <f t="shared" si="135"/>
        <v>290000</v>
      </c>
      <c r="BI43" s="201">
        <f t="shared" si="135"/>
        <v>295000</v>
      </c>
      <c r="BJ43" s="201">
        <f t="shared" si="135"/>
        <v>300000</v>
      </c>
    </row>
    <row r="44" spans="2:62" ht="15.6">
      <c r="B44" s="210" t="str">
        <f t="shared" ref="B44:C47" si="136">B34</f>
        <v>R&amp;D Surveillance System</v>
      </c>
      <c r="C44" s="201">
        <f t="shared" si="136"/>
        <v>3750</v>
      </c>
      <c r="D44" s="201">
        <f t="shared" ref="D44:S47" si="137">C44+D34</f>
        <v>7500</v>
      </c>
      <c r="E44" s="201">
        <f t="shared" si="137"/>
        <v>11250</v>
      </c>
      <c r="F44" s="201">
        <f t="shared" si="137"/>
        <v>15000</v>
      </c>
      <c r="G44" s="201">
        <f t="shared" si="137"/>
        <v>18750</v>
      </c>
      <c r="H44" s="201">
        <f t="shared" si="137"/>
        <v>22500</v>
      </c>
      <c r="I44" s="201">
        <f t="shared" si="137"/>
        <v>26250</v>
      </c>
      <c r="J44" s="201">
        <f t="shared" si="137"/>
        <v>30000</v>
      </c>
      <c r="K44" s="201">
        <f t="shared" si="137"/>
        <v>33750</v>
      </c>
      <c r="L44" s="201">
        <f t="shared" si="137"/>
        <v>37500</v>
      </c>
      <c r="M44" s="201">
        <f t="shared" si="137"/>
        <v>41250</v>
      </c>
      <c r="N44" s="201">
        <f t="shared" si="137"/>
        <v>45000</v>
      </c>
      <c r="O44" s="201">
        <f t="shared" si="137"/>
        <v>48750</v>
      </c>
      <c r="P44" s="201">
        <f t="shared" si="137"/>
        <v>52500</v>
      </c>
      <c r="Q44" s="201">
        <f t="shared" si="137"/>
        <v>56250</v>
      </c>
      <c r="R44" s="201">
        <f t="shared" si="137"/>
        <v>60000</v>
      </c>
      <c r="S44" s="201">
        <f t="shared" si="137"/>
        <v>63750</v>
      </c>
      <c r="T44" s="201">
        <f t="shared" si="135"/>
        <v>67500</v>
      </c>
      <c r="U44" s="201">
        <f t="shared" si="135"/>
        <v>71250</v>
      </c>
      <c r="V44" s="201">
        <f t="shared" si="135"/>
        <v>75000</v>
      </c>
      <c r="W44" s="201">
        <f t="shared" si="135"/>
        <v>78750</v>
      </c>
      <c r="X44" s="201">
        <f t="shared" si="135"/>
        <v>82500</v>
      </c>
      <c r="Y44" s="201">
        <f t="shared" si="135"/>
        <v>86250</v>
      </c>
      <c r="Z44" s="201">
        <f t="shared" si="135"/>
        <v>90000</v>
      </c>
      <c r="AA44" s="201">
        <f t="shared" si="135"/>
        <v>93750</v>
      </c>
      <c r="AB44" s="201">
        <f t="shared" si="135"/>
        <v>97500</v>
      </c>
      <c r="AC44" s="201">
        <f t="shared" si="135"/>
        <v>101250</v>
      </c>
      <c r="AD44" s="201">
        <f t="shared" si="135"/>
        <v>105000</v>
      </c>
      <c r="AE44" s="201">
        <f t="shared" si="135"/>
        <v>108750</v>
      </c>
      <c r="AF44" s="201">
        <f t="shared" si="135"/>
        <v>112500</v>
      </c>
      <c r="AG44" s="201">
        <f t="shared" si="135"/>
        <v>116250</v>
      </c>
      <c r="AH44" s="201">
        <f t="shared" si="135"/>
        <v>120000</v>
      </c>
      <c r="AI44" s="201">
        <f t="shared" si="135"/>
        <v>123750</v>
      </c>
      <c r="AJ44" s="201">
        <f t="shared" si="135"/>
        <v>127500</v>
      </c>
      <c r="AK44" s="201">
        <f t="shared" si="135"/>
        <v>131250</v>
      </c>
      <c r="AL44" s="201">
        <f t="shared" si="135"/>
        <v>135000</v>
      </c>
      <c r="AM44" s="201">
        <f t="shared" si="135"/>
        <v>138750</v>
      </c>
      <c r="AN44" s="201">
        <f t="shared" si="135"/>
        <v>142500</v>
      </c>
      <c r="AO44" s="201">
        <f t="shared" si="135"/>
        <v>146250</v>
      </c>
      <c r="AP44" s="201">
        <f t="shared" si="135"/>
        <v>150000</v>
      </c>
      <c r="AQ44" s="201">
        <f t="shared" si="135"/>
        <v>153750</v>
      </c>
      <c r="AR44" s="201">
        <f t="shared" si="135"/>
        <v>157500</v>
      </c>
      <c r="AS44" s="201">
        <f t="shared" si="135"/>
        <v>161250</v>
      </c>
      <c r="AT44" s="201">
        <f t="shared" si="135"/>
        <v>165000</v>
      </c>
      <c r="AU44" s="201">
        <f t="shared" si="135"/>
        <v>168750</v>
      </c>
      <c r="AV44" s="201">
        <f t="shared" si="135"/>
        <v>172500</v>
      </c>
      <c r="AW44" s="201">
        <f t="shared" si="135"/>
        <v>176250</v>
      </c>
      <c r="AX44" s="201">
        <f t="shared" si="135"/>
        <v>180000</v>
      </c>
      <c r="AY44" s="201">
        <f t="shared" si="135"/>
        <v>183750</v>
      </c>
      <c r="AZ44" s="201">
        <f t="shared" si="135"/>
        <v>187500</v>
      </c>
      <c r="BA44" s="201">
        <f t="shared" si="135"/>
        <v>191250</v>
      </c>
      <c r="BB44" s="201">
        <f t="shared" si="135"/>
        <v>195000</v>
      </c>
      <c r="BC44" s="201">
        <f t="shared" si="135"/>
        <v>198750</v>
      </c>
      <c r="BD44" s="201">
        <f t="shared" si="135"/>
        <v>202500</v>
      </c>
      <c r="BE44" s="201">
        <f t="shared" si="135"/>
        <v>206250</v>
      </c>
      <c r="BF44" s="201">
        <f t="shared" si="135"/>
        <v>210000</v>
      </c>
      <c r="BG44" s="201">
        <f t="shared" si="135"/>
        <v>213750</v>
      </c>
      <c r="BH44" s="201">
        <f t="shared" si="135"/>
        <v>217500</v>
      </c>
      <c r="BI44" s="201">
        <f t="shared" si="135"/>
        <v>221250</v>
      </c>
      <c r="BJ44" s="201">
        <f t="shared" si="135"/>
        <v>225000</v>
      </c>
    </row>
    <row r="45" spans="2:62" ht="15.6">
      <c r="B45" s="210" t="str">
        <f t="shared" si="136"/>
        <v>Shop Upgrades</v>
      </c>
      <c r="C45" s="201">
        <f t="shared" si="136"/>
        <v>2375</v>
      </c>
      <c r="D45" s="201">
        <f t="shared" si="137"/>
        <v>4750</v>
      </c>
      <c r="E45" s="201">
        <f t="shared" si="135"/>
        <v>7125</v>
      </c>
      <c r="F45" s="201">
        <f t="shared" si="135"/>
        <v>9500</v>
      </c>
      <c r="G45" s="201">
        <f t="shared" si="135"/>
        <v>11875</v>
      </c>
      <c r="H45" s="201">
        <f t="shared" si="135"/>
        <v>14250</v>
      </c>
      <c r="I45" s="201">
        <f t="shared" si="135"/>
        <v>16625</v>
      </c>
      <c r="J45" s="201">
        <f t="shared" si="135"/>
        <v>19000</v>
      </c>
      <c r="K45" s="201">
        <f t="shared" si="135"/>
        <v>21375</v>
      </c>
      <c r="L45" s="201">
        <f t="shared" si="135"/>
        <v>23750</v>
      </c>
      <c r="M45" s="201">
        <f t="shared" si="135"/>
        <v>26125</v>
      </c>
      <c r="N45" s="201">
        <f t="shared" si="135"/>
        <v>28500</v>
      </c>
      <c r="O45" s="201">
        <f t="shared" si="135"/>
        <v>30875</v>
      </c>
      <c r="P45" s="201">
        <f t="shared" si="135"/>
        <v>33250</v>
      </c>
      <c r="Q45" s="201">
        <f t="shared" si="135"/>
        <v>35625</v>
      </c>
      <c r="R45" s="201">
        <f t="shared" si="135"/>
        <v>38000</v>
      </c>
      <c r="S45" s="201">
        <f t="shared" si="135"/>
        <v>40375</v>
      </c>
      <c r="T45" s="201">
        <f t="shared" si="135"/>
        <v>42750</v>
      </c>
      <c r="U45" s="201">
        <f t="shared" si="135"/>
        <v>45125</v>
      </c>
      <c r="V45" s="201">
        <f t="shared" si="135"/>
        <v>47500</v>
      </c>
      <c r="W45" s="201">
        <f t="shared" si="135"/>
        <v>49875</v>
      </c>
      <c r="X45" s="201">
        <f t="shared" si="135"/>
        <v>52250</v>
      </c>
      <c r="Y45" s="201">
        <f t="shared" si="135"/>
        <v>54625</v>
      </c>
      <c r="Z45" s="201">
        <f t="shared" si="135"/>
        <v>57000</v>
      </c>
      <c r="AA45" s="201">
        <f t="shared" si="135"/>
        <v>59375</v>
      </c>
      <c r="AB45" s="201">
        <f t="shared" si="135"/>
        <v>61750</v>
      </c>
      <c r="AC45" s="201">
        <f t="shared" si="135"/>
        <v>64125</v>
      </c>
      <c r="AD45" s="201">
        <f t="shared" si="135"/>
        <v>66500</v>
      </c>
      <c r="AE45" s="201">
        <f t="shared" si="135"/>
        <v>68875</v>
      </c>
      <c r="AF45" s="201">
        <f t="shared" si="135"/>
        <v>71250</v>
      </c>
      <c r="AG45" s="201">
        <f t="shared" si="135"/>
        <v>73625</v>
      </c>
      <c r="AH45" s="201">
        <f t="shared" si="135"/>
        <v>76000</v>
      </c>
      <c r="AI45" s="201">
        <f t="shared" si="135"/>
        <v>78375</v>
      </c>
      <c r="AJ45" s="201">
        <f t="shared" si="135"/>
        <v>80750</v>
      </c>
      <c r="AK45" s="201">
        <f t="shared" si="135"/>
        <v>83125</v>
      </c>
      <c r="AL45" s="201">
        <f t="shared" si="135"/>
        <v>85500</v>
      </c>
      <c r="AM45" s="201">
        <f t="shared" si="135"/>
        <v>87875</v>
      </c>
      <c r="AN45" s="201">
        <f t="shared" si="135"/>
        <v>90250</v>
      </c>
      <c r="AO45" s="201">
        <f t="shared" si="135"/>
        <v>92625</v>
      </c>
      <c r="AP45" s="201">
        <f t="shared" si="135"/>
        <v>95000</v>
      </c>
      <c r="AQ45" s="201">
        <f t="shared" si="135"/>
        <v>97375</v>
      </c>
      <c r="AR45" s="201">
        <f t="shared" si="135"/>
        <v>99750</v>
      </c>
      <c r="AS45" s="201">
        <f t="shared" si="135"/>
        <v>102125</v>
      </c>
      <c r="AT45" s="201">
        <f t="shared" si="135"/>
        <v>104500</v>
      </c>
      <c r="AU45" s="201">
        <f t="shared" si="135"/>
        <v>106875</v>
      </c>
      <c r="AV45" s="201">
        <f t="shared" si="135"/>
        <v>109250</v>
      </c>
      <c r="AW45" s="201">
        <f t="shared" si="135"/>
        <v>111625</v>
      </c>
      <c r="AX45" s="201">
        <f t="shared" si="135"/>
        <v>114000</v>
      </c>
      <c r="AY45" s="201">
        <f t="shared" si="135"/>
        <v>116375</v>
      </c>
      <c r="AZ45" s="201">
        <f t="shared" si="135"/>
        <v>118750</v>
      </c>
      <c r="BA45" s="201">
        <f t="shared" si="135"/>
        <v>121125</v>
      </c>
      <c r="BB45" s="201">
        <f t="shared" si="135"/>
        <v>123500</v>
      </c>
      <c r="BC45" s="201">
        <f t="shared" si="135"/>
        <v>125875</v>
      </c>
      <c r="BD45" s="201">
        <f t="shared" si="135"/>
        <v>128250</v>
      </c>
      <c r="BE45" s="201">
        <f t="shared" si="135"/>
        <v>130625</v>
      </c>
      <c r="BF45" s="201">
        <f t="shared" si="135"/>
        <v>133000</v>
      </c>
      <c r="BG45" s="201">
        <f t="shared" si="135"/>
        <v>135375</v>
      </c>
      <c r="BH45" s="201">
        <f t="shared" si="135"/>
        <v>137750</v>
      </c>
      <c r="BI45" s="201">
        <f t="shared" si="135"/>
        <v>140125</v>
      </c>
      <c r="BJ45" s="201">
        <f t="shared" si="135"/>
        <v>142500</v>
      </c>
    </row>
    <row r="46" spans="2:62" ht="15.6" hidden="1">
      <c r="B46" s="210" t="str">
        <f t="shared" si="136"/>
        <v/>
      </c>
      <c r="C46" s="201">
        <f t="shared" si="136"/>
        <v>0</v>
      </c>
      <c r="D46" s="201">
        <f t="shared" si="137"/>
        <v>0</v>
      </c>
      <c r="E46" s="201">
        <f t="shared" si="135"/>
        <v>0</v>
      </c>
      <c r="F46" s="201">
        <f t="shared" si="135"/>
        <v>0</v>
      </c>
      <c r="G46" s="201">
        <f t="shared" si="135"/>
        <v>0</v>
      </c>
      <c r="H46" s="201">
        <f t="shared" si="135"/>
        <v>0</v>
      </c>
      <c r="I46" s="201">
        <f t="shared" si="135"/>
        <v>0</v>
      </c>
      <c r="J46" s="201">
        <f t="shared" si="135"/>
        <v>0</v>
      </c>
      <c r="K46" s="201">
        <f t="shared" si="135"/>
        <v>0</v>
      </c>
      <c r="L46" s="201">
        <f t="shared" si="135"/>
        <v>0</v>
      </c>
      <c r="M46" s="201">
        <f t="shared" si="135"/>
        <v>0</v>
      </c>
      <c r="N46" s="201">
        <f t="shared" si="135"/>
        <v>0</v>
      </c>
      <c r="O46" s="201">
        <f t="shared" si="135"/>
        <v>0</v>
      </c>
      <c r="P46" s="201">
        <f t="shared" si="135"/>
        <v>0</v>
      </c>
      <c r="Q46" s="201">
        <f t="shared" si="135"/>
        <v>0</v>
      </c>
      <c r="R46" s="201">
        <f t="shared" si="135"/>
        <v>0</v>
      </c>
      <c r="S46" s="201">
        <f t="shared" si="135"/>
        <v>0</v>
      </c>
      <c r="T46" s="201">
        <f t="shared" si="135"/>
        <v>0</v>
      </c>
      <c r="U46" s="201">
        <f t="shared" si="135"/>
        <v>0</v>
      </c>
      <c r="V46" s="201">
        <f t="shared" si="135"/>
        <v>0</v>
      </c>
      <c r="W46" s="201">
        <f t="shared" si="135"/>
        <v>0</v>
      </c>
      <c r="X46" s="201">
        <f t="shared" si="135"/>
        <v>0</v>
      </c>
      <c r="Y46" s="201">
        <f t="shared" si="135"/>
        <v>0</v>
      </c>
      <c r="Z46" s="201">
        <f t="shared" si="135"/>
        <v>0</v>
      </c>
      <c r="AA46" s="201">
        <f t="shared" si="135"/>
        <v>0</v>
      </c>
      <c r="AB46" s="201">
        <f t="shared" si="135"/>
        <v>0</v>
      </c>
      <c r="AC46" s="201">
        <f t="shared" si="135"/>
        <v>0</v>
      </c>
      <c r="AD46" s="201">
        <f t="shared" si="135"/>
        <v>0</v>
      </c>
      <c r="AE46" s="201">
        <f t="shared" si="135"/>
        <v>0</v>
      </c>
      <c r="AF46" s="201">
        <f t="shared" si="135"/>
        <v>0</v>
      </c>
      <c r="AG46" s="201">
        <f t="shared" si="135"/>
        <v>0</v>
      </c>
      <c r="AH46" s="201">
        <f t="shared" si="135"/>
        <v>0</v>
      </c>
      <c r="AI46" s="201">
        <f t="shared" si="135"/>
        <v>0</v>
      </c>
      <c r="AJ46" s="201">
        <f t="shared" si="135"/>
        <v>0</v>
      </c>
      <c r="AK46" s="201">
        <f t="shared" si="135"/>
        <v>0</v>
      </c>
      <c r="AL46" s="201">
        <f t="shared" si="135"/>
        <v>0</v>
      </c>
      <c r="AM46" s="201">
        <f t="shared" si="135"/>
        <v>0</v>
      </c>
      <c r="AN46" s="201">
        <f t="shared" si="135"/>
        <v>0</v>
      </c>
      <c r="AO46" s="201">
        <f t="shared" si="135"/>
        <v>0</v>
      </c>
      <c r="AP46" s="201">
        <f t="shared" si="135"/>
        <v>0</v>
      </c>
      <c r="AQ46" s="201">
        <f t="shared" si="135"/>
        <v>0</v>
      </c>
      <c r="AR46" s="201">
        <f t="shared" si="135"/>
        <v>0</v>
      </c>
      <c r="AS46" s="201">
        <f t="shared" si="135"/>
        <v>0</v>
      </c>
      <c r="AT46" s="201">
        <f t="shared" si="135"/>
        <v>0</v>
      </c>
      <c r="AU46" s="201">
        <f t="shared" si="135"/>
        <v>0</v>
      </c>
      <c r="AV46" s="201">
        <f t="shared" si="135"/>
        <v>0</v>
      </c>
      <c r="AW46" s="201">
        <f t="shared" si="135"/>
        <v>0</v>
      </c>
      <c r="AX46" s="201">
        <f t="shared" si="135"/>
        <v>0</v>
      </c>
      <c r="AY46" s="201">
        <f t="shared" si="135"/>
        <v>0</v>
      </c>
      <c r="AZ46" s="201">
        <f t="shared" si="135"/>
        <v>0</v>
      </c>
      <c r="BA46" s="201">
        <f t="shared" si="135"/>
        <v>0</v>
      </c>
      <c r="BB46" s="201">
        <f t="shared" si="135"/>
        <v>0</v>
      </c>
      <c r="BC46" s="201">
        <f t="shared" si="135"/>
        <v>0</v>
      </c>
      <c r="BD46" s="201">
        <f t="shared" si="135"/>
        <v>0</v>
      </c>
      <c r="BE46" s="201">
        <f t="shared" si="135"/>
        <v>0</v>
      </c>
      <c r="BF46" s="201">
        <f t="shared" si="135"/>
        <v>0</v>
      </c>
      <c r="BG46" s="201">
        <f t="shared" si="135"/>
        <v>0</v>
      </c>
      <c r="BH46" s="201">
        <f t="shared" si="135"/>
        <v>0</v>
      </c>
      <c r="BI46" s="201">
        <f t="shared" si="135"/>
        <v>0</v>
      </c>
      <c r="BJ46" s="201">
        <f t="shared" si="135"/>
        <v>0</v>
      </c>
    </row>
    <row r="47" spans="2:62" ht="15.6" hidden="1">
      <c r="B47" s="210" t="str">
        <f t="shared" si="136"/>
        <v/>
      </c>
      <c r="C47" s="201">
        <f t="shared" si="136"/>
        <v>0</v>
      </c>
      <c r="D47" s="201">
        <f t="shared" si="137"/>
        <v>0</v>
      </c>
      <c r="E47" s="201">
        <f t="shared" si="135"/>
        <v>0</v>
      </c>
      <c r="F47" s="201">
        <f t="shared" si="135"/>
        <v>0</v>
      </c>
      <c r="G47" s="201">
        <f t="shared" si="135"/>
        <v>0</v>
      </c>
      <c r="H47" s="201">
        <f t="shared" si="135"/>
        <v>0</v>
      </c>
      <c r="I47" s="201">
        <f t="shared" si="135"/>
        <v>0</v>
      </c>
      <c r="J47" s="201">
        <f t="shared" si="135"/>
        <v>0</v>
      </c>
      <c r="K47" s="201">
        <f t="shared" si="135"/>
        <v>0</v>
      </c>
      <c r="L47" s="201">
        <f t="shared" si="135"/>
        <v>0</v>
      </c>
      <c r="M47" s="201">
        <f t="shared" si="135"/>
        <v>0</v>
      </c>
      <c r="N47" s="201">
        <f t="shared" si="135"/>
        <v>0</v>
      </c>
      <c r="O47" s="201">
        <f t="shared" si="135"/>
        <v>0</v>
      </c>
      <c r="P47" s="201">
        <f t="shared" si="135"/>
        <v>0</v>
      </c>
      <c r="Q47" s="201">
        <f t="shared" si="135"/>
        <v>0</v>
      </c>
      <c r="R47" s="201">
        <f t="shared" si="135"/>
        <v>0</v>
      </c>
      <c r="S47" s="201">
        <f t="shared" si="135"/>
        <v>0</v>
      </c>
      <c r="T47" s="201">
        <f t="shared" si="135"/>
        <v>0</v>
      </c>
      <c r="U47" s="201">
        <f t="shared" si="135"/>
        <v>0</v>
      </c>
      <c r="V47" s="201">
        <f t="shared" si="135"/>
        <v>0</v>
      </c>
      <c r="W47" s="201">
        <f t="shared" si="135"/>
        <v>0</v>
      </c>
      <c r="X47" s="201">
        <f t="shared" si="135"/>
        <v>0</v>
      </c>
      <c r="Y47" s="201">
        <f t="shared" si="135"/>
        <v>0</v>
      </c>
      <c r="Z47" s="201">
        <f t="shared" si="135"/>
        <v>0</v>
      </c>
      <c r="AA47" s="201">
        <f t="shared" si="135"/>
        <v>0</v>
      </c>
      <c r="AB47" s="201">
        <f t="shared" si="135"/>
        <v>0</v>
      </c>
      <c r="AC47" s="201">
        <f t="shared" si="135"/>
        <v>0</v>
      </c>
      <c r="AD47" s="201">
        <f t="shared" si="135"/>
        <v>0</v>
      </c>
      <c r="AE47" s="201">
        <f t="shared" si="135"/>
        <v>0</v>
      </c>
      <c r="AF47" s="201">
        <f t="shared" si="135"/>
        <v>0</v>
      </c>
      <c r="AG47" s="201">
        <f t="shared" si="135"/>
        <v>0</v>
      </c>
      <c r="AH47" s="201">
        <f t="shared" si="135"/>
        <v>0</v>
      </c>
      <c r="AI47" s="201">
        <f t="shared" si="135"/>
        <v>0</v>
      </c>
      <c r="AJ47" s="201">
        <f t="shared" si="135"/>
        <v>0</v>
      </c>
      <c r="AK47" s="201">
        <f t="shared" si="135"/>
        <v>0</v>
      </c>
      <c r="AL47" s="201">
        <f t="shared" si="135"/>
        <v>0</v>
      </c>
      <c r="AM47" s="201">
        <f t="shared" si="135"/>
        <v>0</v>
      </c>
      <c r="AN47" s="201">
        <f t="shared" si="135"/>
        <v>0</v>
      </c>
      <c r="AO47" s="201">
        <f t="shared" si="135"/>
        <v>0</v>
      </c>
      <c r="AP47" s="201">
        <f t="shared" si="135"/>
        <v>0</v>
      </c>
      <c r="AQ47" s="201">
        <f t="shared" ref="AQ47:BJ47" si="138">AP47+AQ37</f>
        <v>0</v>
      </c>
      <c r="AR47" s="201">
        <f t="shared" si="138"/>
        <v>0</v>
      </c>
      <c r="AS47" s="201">
        <f t="shared" si="138"/>
        <v>0</v>
      </c>
      <c r="AT47" s="201">
        <f t="shared" si="138"/>
        <v>0</v>
      </c>
      <c r="AU47" s="201">
        <f t="shared" si="138"/>
        <v>0</v>
      </c>
      <c r="AV47" s="201">
        <f t="shared" si="138"/>
        <v>0</v>
      </c>
      <c r="AW47" s="201">
        <f t="shared" si="138"/>
        <v>0</v>
      </c>
      <c r="AX47" s="201">
        <f t="shared" si="138"/>
        <v>0</v>
      </c>
      <c r="AY47" s="201">
        <f t="shared" si="138"/>
        <v>0</v>
      </c>
      <c r="AZ47" s="201">
        <f t="shared" si="138"/>
        <v>0</v>
      </c>
      <c r="BA47" s="201">
        <f t="shared" si="138"/>
        <v>0</v>
      </c>
      <c r="BB47" s="201">
        <f t="shared" si="138"/>
        <v>0</v>
      </c>
      <c r="BC47" s="201">
        <f t="shared" si="138"/>
        <v>0</v>
      </c>
      <c r="BD47" s="201">
        <f t="shared" si="138"/>
        <v>0</v>
      </c>
      <c r="BE47" s="201">
        <f t="shared" si="138"/>
        <v>0</v>
      </c>
      <c r="BF47" s="201">
        <f t="shared" si="138"/>
        <v>0</v>
      </c>
      <c r="BG47" s="201">
        <f t="shared" si="138"/>
        <v>0</v>
      </c>
      <c r="BH47" s="201">
        <f t="shared" si="138"/>
        <v>0</v>
      </c>
      <c r="BI47" s="201">
        <f t="shared" si="138"/>
        <v>0</v>
      </c>
      <c r="BJ47" s="201">
        <f t="shared" si="138"/>
        <v>0</v>
      </c>
    </row>
    <row r="48" spans="2:62" ht="15.6" hidden="1">
      <c r="B48" s="210"/>
      <c r="C48" s="201"/>
      <c r="D48" s="201"/>
      <c r="E48" s="201"/>
      <c r="F48" s="201"/>
      <c r="G48" s="201"/>
      <c r="H48" s="201"/>
      <c r="I48" s="201"/>
      <c r="J48" s="201"/>
      <c r="K48" s="201"/>
      <c r="L48" s="201"/>
      <c r="M48" s="201"/>
      <c r="N48" s="201"/>
      <c r="O48" s="201"/>
      <c r="P48" s="201"/>
      <c r="Q48" s="201"/>
      <c r="R48" s="201"/>
      <c r="S48" s="201"/>
      <c r="T48" s="201"/>
      <c r="U48" s="201"/>
      <c r="V48" s="201"/>
      <c r="W48" s="201"/>
      <c r="X48" s="201"/>
      <c r="Y48" s="201"/>
      <c r="Z48" s="201"/>
      <c r="AA48" s="201"/>
      <c r="AB48" s="201"/>
      <c r="AC48" s="201"/>
      <c r="AD48" s="201"/>
      <c r="AE48" s="201"/>
      <c r="AF48" s="201"/>
      <c r="AG48" s="201"/>
      <c r="AH48" s="201"/>
      <c r="AI48" s="201"/>
      <c r="AJ48" s="201"/>
      <c r="AK48" s="201"/>
      <c r="AL48" s="201"/>
      <c r="AM48" s="201"/>
      <c r="AN48" s="201"/>
      <c r="AO48" s="201"/>
      <c r="AP48" s="201"/>
      <c r="AQ48" s="201"/>
      <c r="AR48" s="201"/>
      <c r="AS48" s="201"/>
      <c r="AT48" s="201"/>
      <c r="AU48" s="201"/>
      <c r="AV48" s="201"/>
      <c r="AW48" s="201"/>
      <c r="AX48" s="201"/>
      <c r="AY48" s="201"/>
      <c r="AZ48" s="201"/>
      <c r="BA48" s="201"/>
      <c r="BB48" s="201"/>
      <c r="BC48" s="201"/>
      <c r="BD48" s="201"/>
      <c r="BE48" s="201"/>
      <c r="BF48" s="201"/>
      <c r="BG48" s="201"/>
      <c r="BH48" s="201"/>
      <c r="BI48" s="201"/>
      <c r="BJ48" s="201"/>
    </row>
    <row r="49" spans="2:62" ht="15.6">
      <c r="B49" s="94" t="s">
        <v>26</v>
      </c>
      <c r="C49" s="209">
        <f>SUM(C43:C48)</f>
        <v>11125</v>
      </c>
      <c r="D49" s="209">
        <f t="shared" ref="D49" si="139">SUM(D43:D48)</f>
        <v>22250</v>
      </c>
      <c r="E49" s="209">
        <f t="shared" ref="E49" si="140">SUM(E43:E48)</f>
        <v>33375</v>
      </c>
      <c r="F49" s="209">
        <f t="shared" ref="F49" si="141">SUM(F43:F48)</f>
        <v>44500</v>
      </c>
      <c r="G49" s="209">
        <f t="shared" ref="G49" si="142">SUM(G43:G48)</f>
        <v>55625</v>
      </c>
      <c r="H49" s="209">
        <f t="shared" ref="H49" si="143">SUM(H43:H48)</f>
        <v>66750</v>
      </c>
      <c r="I49" s="209">
        <f t="shared" ref="I49" si="144">SUM(I43:I48)</f>
        <v>77875</v>
      </c>
      <c r="J49" s="209">
        <f t="shared" ref="J49" si="145">SUM(J43:J48)</f>
        <v>89000</v>
      </c>
      <c r="K49" s="209">
        <f t="shared" ref="K49" si="146">SUM(K43:K48)</f>
        <v>100125</v>
      </c>
      <c r="L49" s="209">
        <f t="shared" ref="L49" si="147">SUM(L43:L48)</f>
        <v>111250</v>
      </c>
      <c r="M49" s="209">
        <f t="shared" ref="M49" si="148">SUM(M43:M48)</f>
        <v>122375</v>
      </c>
      <c r="N49" s="209">
        <f t="shared" ref="N49" si="149">SUM(N43:N48)</f>
        <v>133500</v>
      </c>
      <c r="O49" s="209">
        <f t="shared" ref="O49" si="150">SUM(O43:O48)</f>
        <v>144625</v>
      </c>
      <c r="P49" s="209">
        <f t="shared" ref="P49" si="151">SUM(P43:P48)</f>
        <v>155750</v>
      </c>
      <c r="Q49" s="209">
        <f t="shared" ref="Q49" si="152">SUM(Q43:Q48)</f>
        <v>166875</v>
      </c>
      <c r="R49" s="209">
        <f t="shared" ref="R49" si="153">SUM(R43:R48)</f>
        <v>178000</v>
      </c>
      <c r="S49" s="209">
        <f t="shared" ref="S49" si="154">SUM(S43:S48)</f>
        <v>189125</v>
      </c>
      <c r="T49" s="209">
        <f t="shared" ref="T49" si="155">SUM(T43:T48)</f>
        <v>200250</v>
      </c>
      <c r="U49" s="209">
        <f t="shared" ref="U49" si="156">SUM(U43:U48)</f>
        <v>211375</v>
      </c>
      <c r="V49" s="209">
        <f t="shared" ref="V49" si="157">SUM(V43:V48)</f>
        <v>222500</v>
      </c>
      <c r="W49" s="209">
        <f t="shared" ref="W49" si="158">SUM(W43:W48)</f>
        <v>233625</v>
      </c>
      <c r="X49" s="209">
        <f t="shared" ref="X49" si="159">SUM(X43:X48)</f>
        <v>244750</v>
      </c>
      <c r="Y49" s="209">
        <f t="shared" ref="Y49" si="160">SUM(Y43:Y48)</f>
        <v>255875</v>
      </c>
      <c r="Z49" s="209">
        <f t="shared" ref="Z49" si="161">SUM(Z43:Z48)</f>
        <v>267000</v>
      </c>
      <c r="AA49" s="209">
        <f t="shared" ref="AA49" si="162">SUM(AA43:AA48)</f>
        <v>278125</v>
      </c>
      <c r="AB49" s="209">
        <f t="shared" ref="AB49" si="163">SUM(AB43:AB48)</f>
        <v>289250</v>
      </c>
      <c r="AC49" s="209">
        <f t="shared" ref="AC49" si="164">SUM(AC43:AC48)</f>
        <v>300375</v>
      </c>
      <c r="AD49" s="209">
        <f t="shared" ref="AD49" si="165">SUM(AD43:AD48)</f>
        <v>311500</v>
      </c>
      <c r="AE49" s="209">
        <f t="shared" ref="AE49" si="166">SUM(AE43:AE48)</f>
        <v>322625</v>
      </c>
      <c r="AF49" s="209">
        <f t="shared" ref="AF49" si="167">SUM(AF43:AF48)</f>
        <v>333750</v>
      </c>
      <c r="AG49" s="209">
        <f t="shared" ref="AG49" si="168">SUM(AG43:AG48)</f>
        <v>344875</v>
      </c>
      <c r="AH49" s="209">
        <f t="shared" ref="AH49" si="169">SUM(AH43:AH48)</f>
        <v>356000</v>
      </c>
      <c r="AI49" s="209">
        <f t="shared" ref="AI49" si="170">SUM(AI43:AI48)</f>
        <v>367125</v>
      </c>
      <c r="AJ49" s="209">
        <f t="shared" ref="AJ49" si="171">SUM(AJ43:AJ48)</f>
        <v>378250</v>
      </c>
      <c r="AK49" s="209">
        <f t="shared" ref="AK49" si="172">SUM(AK43:AK48)</f>
        <v>389375</v>
      </c>
      <c r="AL49" s="209">
        <f t="shared" ref="AL49" si="173">SUM(AL43:AL48)</f>
        <v>400500</v>
      </c>
      <c r="AM49" s="209">
        <f t="shared" ref="AM49" si="174">SUM(AM43:AM48)</f>
        <v>411625</v>
      </c>
      <c r="AN49" s="209">
        <f t="shared" ref="AN49" si="175">SUM(AN43:AN48)</f>
        <v>422750</v>
      </c>
      <c r="AO49" s="209">
        <f t="shared" ref="AO49" si="176">SUM(AO43:AO48)</f>
        <v>433875</v>
      </c>
      <c r="AP49" s="209">
        <f t="shared" ref="AP49" si="177">SUM(AP43:AP48)</f>
        <v>445000</v>
      </c>
      <c r="AQ49" s="209">
        <f t="shared" ref="AQ49" si="178">SUM(AQ43:AQ48)</f>
        <v>456125</v>
      </c>
      <c r="AR49" s="209">
        <f t="shared" ref="AR49" si="179">SUM(AR43:AR48)</f>
        <v>467250</v>
      </c>
      <c r="AS49" s="209">
        <f t="shared" ref="AS49" si="180">SUM(AS43:AS48)</f>
        <v>478375</v>
      </c>
      <c r="AT49" s="209">
        <f t="shared" ref="AT49" si="181">SUM(AT43:AT48)</f>
        <v>489500</v>
      </c>
      <c r="AU49" s="209">
        <f t="shared" ref="AU49" si="182">SUM(AU43:AU48)</f>
        <v>500625</v>
      </c>
      <c r="AV49" s="209">
        <f t="shared" ref="AV49" si="183">SUM(AV43:AV48)</f>
        <v>511750</v>
      </c>
      <c r="AW49" s="209">
        <f t="shared" ref="AW49" si="184">SUM(AW43:AW48)</f>
        <v>522875</v>
      </c>
      <c r="AX49" s="209">
        <f t="shared" ref="AX49" si="185">SUM(AX43:AX48)</f>
        <v>534000</v>
      </c>
      <c r="AY49" s="209">
        <f t="shared" ref="AY49" si="186">SUM(AY43:AY48)</f>
        <v>545125</v>
      </c>
      <c r="AZ49" s="209">
        <f t="shared" ref="AZ49" si="187">SUM(AZ43:AZ48)</f>
        <v>556250</v>
      </c>
      <c r="BA49" s="209">
        <f t="shared" ref="BA49" si="188">SUM(BA43:BA48)</f>
        <v>567375</v>
      </c>
      <c r="BB49" s="209">
        <f t="shared" ref="BB49" si="189">SUM(BB43:BB48)</f>
        <v>578500</v>
      </c>
      <c r="BC49" s="209">
        <f t="shared" ref="BC49" si="190">SUM(BC43:BC48)</f>
        <v>589625</v>
      </c>
      <c r="BD49" s="209">
        <f t="shared" ref="BD49" si="191">SUM(BD43:BD48)</f>
        <v>600750</v>
      </c>
      <c r="BE49" s="209">
        <f t="shared" ref="BE49" si="192">SUM(BE43:BE48)</f>
        <v>611875</v>
      </c>
      <c r="BF49" s="209">
        <f t="shared" ref="BF49" si="193">SUM(BF43:BF48)</f>
        <v>623000</v>
      </c>
      <c r="BG49" s="209">
        <f t="shared" ref="BG49" si="194">SUM(BG43:BG48)</f>
        <v>634125</v>
      </c>
      <c r="BH49" s="209">
        <f t="shared" ref="BH49" si="195">SUM(BH43:BH48)</f>
        <v>645250</v>
      </c>
      <c r="BI49" s="209">
        <f t="shared" ref="BI49" si="196">SUM(BI43:BI48)</f>
        <v>656375</v>
      </c>
      <c r="BJ49" s="209">
        <f t="shared" ref="BJ49" si="197">SUM(BJ43:BJ48)</f>
        <v>667500</v>
      </c>
    </row>
    <row r="52" spans="2:62" ht="17.399999999999999">
      <c r="B52" s="102" t="s">
        <v>110</v>
      </c>
      <c r="C52" s="171" t="s">
        <v>15</v>
      </c>
      <c r="D52" s="171" t="s">
        <v>41</v>
      </c>
      <c r="E52" s="171" t="s">
        <v>42</v>
      </c>
      <c r="F52" s="171" t="s">
        <v>43</v>
      </c>
      <c r="G52" s="171" t="s">
        <v>44</v>
      </c>
      <c r="H52" s="171" t="s">
        <v>45</v>
      </c>
      <c r="I52" s="171" t="s">
        <v>46</v>
      </c>
      <c r="J52" s="171" t="s">
        <v>47</v>
      </c>
      <c r="K52" s="171" t="s">
        <v>48</v>
      </c>
      <c r="L52" s="171" t="s">
        <v>49</v>
      </c>
      <c r="M52" s="171" t="s">
        <v>50</v>
      </c>
      <c r="N52" s="171" t="s">
        <v>51</v>
      </c>
      <c r="O52" s="171" t="s">
        <v>20</v>
      </c>
      <c r="P52" s="171" t="s">
        <v>52</v>
      </c>
      <c r="Q52" s="171" t="s">
        <v>53</v>
      </c>
      <c r="R52" s="171" t="s">
        <v>54</v>
      </c>
      <c r="S52" s="171" t="s">
        <v>55</v>
      </c>
      <c r="T52" s="171" t="s">
        <v>56</v>
      </c>
      <c r="U52" s="171" t="s">
        <v>57</v>
      </c>
      <c r="V52" s="171" t="s">
        <v>58</v>
      </c>
      <c r="W52" s="171" t="s">
        <v>59</v>
      </c>
      <c r="X52" s="171" t="s">
        <v>60</v>
      </c>
      <c r="Y52" s="171" t="s">
        <v>61</v>
      </c>
      <c r="Z52" s="171" t="s">
        <v>62</v>
      </c>
      <c r="AA52" s="171" t="s">
        <v>63</v>
      </c>
      <c r="AB52" s="171" t="s">
        <v>64</v>
      </c>
      <c r="AC52" s="171" t="s">
        <v>65</v>
      </c>
      <c r="AD52" s="171" t="s">
        <v>66</v>
      </c>
      <c r="AE52" s="171" t="s">
        <v>67</v>
      </c>
      <c r="AF52" s="171" t="s">
        <v>68</v>
      </c>
      <c r="AG52" s="171" t="s">
        <v>69</v>
      </c>
      <c r="AH52" s="171" t="s">
        <v>70</v>
      </c>
      <c r="AI52" s="171" t="s">
        <v>71</v>
      </c>
      <c r="AJ52" s="171" t="s">
        <v>72</v>
      </c>
      <c r="AK52" s="171" t="s">
        <v>73</v>
      </c>
      <c r="AL52" s="171" t="s">
        <v>74</v>
      </c>
      <c r="AM52" s="171" t="s">
        <v>75</v>
      </c>
      <c r="AN52" s="171" t="s">
        <v>76</v>
      </c>
      <c r="AO52" s="171" t="s">
        <v>77</v>
      </c>
      <c r="AP52" s="171" t="s">
        <v>78</v>
      </c>
      <c r="AQ52" s="171" t="s">
        <v>79</v>
      </c>
      <c r="AR52" s="171" t="s">
        <v>80</v>
      </c>
      <c r="AS52" s="171" t="s">
        <v>81</v>
      </c>
      <c r="AT52" s="171" t="s">
        <v>82</v>
      </c>
      <c r="AU52" s="171" t="s">
        <v>83</v>
      </c>
      <c r="AV52" s="171" t="s">
        <v>84</v>
      </c>
      <c r="AW52" s="171" t="s">
        <v>85</v>
      </c>
      <c r="AX52" s="171" t="s">
        <v>86</v>
      </c>
      <c r="AY52" s="171" t="s">
        <v>87</v>
      </c>
      <c r="AZ52" s="171" t="s">
        <v>88</v>
      </c>
      <c r="BA52" s="171" t="s">
        <v>89</v>
      </c>
      <c r="BB52" s="171" t="s">
        <v>90</v>
      </c>
      <c r="BC52" s="171" t="s">
        <v>91</v>
      </c>
      <c r="BD52" s="171" t="s">
        <v>92</v>
      </c>
      <c r="BE52" s="171" t="s">
        <v>93</v>
      </c>
      <c r="BF52" s="171" t="s">
        <v>94</v>
      </c>
      <c r="BG52" s="171" t="s">
        <v>95</v>
      </c>
      <c r="BH52" s="171" t="s">
        <v>96</v>
      </c>
      <c r="BI52" s="171" t="s">
        <v>97</v>
      </c>
      <c r="BJ52" s="171" t="s">
        <v>98</v>
      </c>
    </row>
    <row r="53" spans="2:62" ht="15.6">
      <c r="B53" s="210" t="str">
        <f>B43</f>
        <v>Metal Fabrication Shop Acquisition</v>
      </c>
      <c r="C53" s="201">
        <f>C23-C43</f>
        <v>1995000</v>
      </c>
      <c r="D53" s="201">
        <f t="shared" ref="D53:BJ57" si="198">D23-D43</f>
        <v>1990000</v>
      </c>
      <c r="E53" s="201">
        <f t="shared" si="198"/>
        <v>1985000</v>
      </c>
      <c r="F53" s="201">
        <f t="shared" si="198"/>
        <v>1980000</v>
      </c>
      <c r="G53" s="201">
        <f t="shared" si="198"/>
        <v>1975000</v>
      </c>
      <c r="H53" s="201">
        <f t="shared" si="198"/>
        <v>1970000</v>
      </c>
      <c r="I53" s="201">
        <f t="shared" si="198"/>
        <v>1965000</v>
      </c>
      <c r="J53" s="201">
        <f t="shared" si="198"/>
        <v>1960000</v>
      </c>
      <c r="K53" s="201">
        <f t="shared" si="198"/>
        <v>1955000</v>
      </c>
      <c r="L53" s="201">
        <f t="shared" si="198"/>
        <v>1950000</v>
      </c>
      <c r="M53" s="201">
        <f t="shared" si="198"/>
        <v>1945000</v>
      </c>
      <c r="N53" s="201">
        <f t="shared" si="198"/>
        <v>1940000</v>
      </c>
      <c r="O53" s="201">
        <f t="shared" si="198"/>
        <v>1935000</v>
      </c>
      <c r="P53" s="201">
        <f t="shared" si="198"/>
        <v>1930000</v>
      </c>
      <c r="Q53" s="201">
        <f t="shared" si="198"/>
        <v>1925000</v>
      </c>
      <c r="R53" s="201">
        <f t="shared" si="198"/>
        <v>1920000</v>
      </c>
      <c r="S53" s="201">
        <f t="shared" si="198"/>
        <v>1915000</v>
      </c>
      <c r="T53" s="201">
        <f t="shared" si="198"/>
        <v>1910000</v>
      </c>
      <c r="U53" s="201">
        <f t="shared" si="198"/>
        <v>1905000</v>
      </c>
      <c r="V53" s="201">
        <f t="shared" si="198"/>
        <v>1900000</v>
      </c>
      <c r="W53" s="201">
        <f t="shared" si="198"/>
        <v>1895000</v>
      </c>
      <c r="X53" s="201">
        <f t="shared" si="198"/>
        <v>1890000</v>
      </c>
      <c r="Y53" s="201">
        <f t="shared" si="198"/>
        <v>1885000</v>
      </c>
      <c r="Z53" s="201">
        <f t="shared" si="198"/>
        <v>1880000</v>
      </c>
      <c r="AA53" s="201">
        <f t="shared" si="198"/>
        <v>1875000</v>
      </c>
      <c r="AB53" s="201">
        <f t="shared" si="198"/>
        <v>1870000</v>
      </c>
      <c r="AC53" s="201">
        <f t="shared" si="198"/>
        <v>1865000</v>
      </c>
      <c r="AD53" s="201">
        <f t="shared" si="198"/>
        <v>1860000</v>
      </c>
      <c r="AE53" s="201">
        <f t="shared" si="198"/>
        <v>1855000</v>
      </c>
      <c r="AF53" s="201">
        <f t="shared" si="198"/>
        <v>1850000</v>
      </c>
      <c r="AG53" s="201">
        <f t="shared" si="198"/>
        <v>1845000</v>
      </c>
      <c r="AH53" s="201">
        <f t="shared" si="198"/>
        <v>1840000</v>
      </c>
      <c r="AI53" s="201">
        <f t="shared" si="198"/>
        <v>1835000</v>
      </c>
      <c r="AJ53" s="201">
        <f t="shared" si="198"/>
        <v>1830000</v>
      </c>
      <c r="AK53" s="201">
        <f t="shared" si="198"/>
        <v>1825000</v>
      </c>
      <c r="AL53" s="201">
        <f t="shared" si="198"/>
        <v>1820000</v>
      </c>
      <c r="AM53" s="201">
        <f t="shared" si="198"/>
        <v>1815000</v>
      </c>
      <c r="AN53" s="201">
        <f t="shared" si="198"/>
        <v>1810000</v>
      </c>
      <c r="AO53" s="201">
        <f t="shared" si="198"/>
        <v>1805000</v>
      </c>
      <c r="AP53" s="201">
        <f t="shared" si="198"/>
        <v>1800000</v>
      </c>
      <c r="AQ53" s="201">
        <f t="shared" si="198"/>
        <v>1795000</v>
      </c>
      <c r="AR53" s="201">
        <f t="shared" si="198"/>
        <v>1790000</v>
      </c>
      <c r="AS53" s="201">
        <f t="shared" si="198"/>
        <v>1785000</v>
      </c>
      <c r="AT53" s="201">
        <f t="shared" si="198"/>
        <v>1780000</v>
      </c>
      <c r="AU53" s="201">
        <f t="shared" si="198"/>
        <v>1775000</v>
      </c>
      <c r="AV53" s="201">
        <f t="shared" si="198"/>
        <v>1770000</v>
      </c>
      <c r="AW53" s="201">
        <f t="shared" si="198"/>
        <v>1765000</v>
      </c>
      <c r="AX53" s="201">
        <f t="shared" si="198"/>
        <v>1760000</v>
      </c>
      <c r="AY53" s="201">
        <f t="shared" si="198"/>
        <v>1755000</v>
      </c>
      <c r="AZ53" s="201">
        <f t="shared" si="198"/>
        <v>1750000</v>
      </c>
      <c r="BA53" s="201">
        <f t="shared" si="198"/>
        <v>1745000</v>
      </c>
      <c r="BB53" s="201">
        <f t="shared" si="198"/>
        <v>1740000</v>
      </c>
      <c r="BC53" s="201">
        <f t="shared" si="198"/>
        <v>1735000</v>
      </c>
      <c r="BD53" s="201">
        <f t="shared" si="198"/>
        <v>1730000</v>
      </c>
      <c r="BE53" s="201">
        <f t="shared" si="198"/>
        <v>1725000</v>
      </c>
      <c r="BF53" s="201">
        <f t="shared" si="198"/>
        <v>1720000</v>
      </c>
      <c r="BG53" s="201">
        <f t="shared" si="198"/>
        <v>1715000</v>
      </c>
      <c r="BH53" s="201">
        <f t="shared" si="198"/>
        <v>1710000</v>
      </c>
      <c r="BI53" s="201">
        <f t="shared" si="198"/>
        <v>1705000</v>
      </c>
      <c r="BJ53" s="201">
        <f t="shared" si="198"/>
        <v>1700000</v>
      </c>
    </row>
    <row r="54" spans="2:62" ht="15.6">
      <c r="B54" s="210" t="str">
        <f t="shared" ref="B54" si="199">B44</f>
        <v>R&amp;D Surveillance System</v>
      </c>
      <c r="C54" s="201">
        <f t="shared" ref="C54:R57" si="200">C24-C44</f>
        <v>1496250</v>
      </c>
      <c r="D54" s="201">
        <f t="shared" si="200"/>
        <v>1492500</v>
      </c>
      <c r="E54" s="201">
        <f t="shared" si="200"/>
        <v>1488750</v>
      </c>
      <c r="F54" s="201">
        <f t="shared" si="200"/>
        <v>1485000</v>
      </c>
      <c r="G54" s="201">
        <f t="shared" si="200"/>
        <v>1481250</v>
      </c>
      <c r="H54" s="201">
        <f t="shared" si="200"/>
        <v>1477500</v>
      </c>
      <c r="I54" s="201">
        <f t="shared" si="200"/>
        <v>1473750</v>
      </c>
      <c r="J54" s="201">
        <f t="shared" si="200"/>
        <v>1470000</v>
      </c>
      <c r="K54" s="201">
        <f t="shared" si="200"/>
        <v>1466250</v>
      </c>
      <c r="L54" s="201">
        <f t="shared" si="200"/>
        <v>1462500</v>
      </c>
      <c r="M54" s="201">
        <f t="shared" si="200"/>
        <v>1458750</v>
      </c>
      <c r="N54" s="201">
        <f t="shared" si="200"/>
        <v>1455000</v>
      </c>
      <c r="O54" s="201">
        <f t="shared" si="200"/>
        <v>1451250</v>
      </c>
      <c r="P54" s="201">
        <f t="shared" si="200"/>
        <v>1447500</v>
      </c>
      <c r="Q54" s="201">
        <f t="shared" si="200"/>
        <v>1443750</v>
      </c>
      <c r="R54" s="201">
        <f t="shared" si="200"/>
        <v>1440000</v>
      </c>
      <c r="S54" s="201">
        <f t="shared" si="198"/>
        <v>1436250</v>
      </c>
      <c r="T54" s="201">
        <f t="shared" si="198"/>
        <v>1432500</v>
      </c>
      <c r="U54" s="201">
        <f t="shared" si="198"/>
        <v>1428750</v>
      </c>
      <c r="V54" s="201">
        <f t="shared" si="198"/>
        <v>1425000</v>
      </c>
      <c r="W54" s="201">
        <f t="shared" si="198"/>
        <v>1421250</v>
      </c>
      <c r="X54" s="201">
        <f t="shared" si="198"/>
        <v>1417500</v>
      </c>
      <c r="Y54" s="201">
        <f t="shared" si="198"/>
        <v>1413750</v>
      </c>
      <c r="Z54" s="201">
        <f t="shared" si="198"/>
        <v>1410000</v>
      </c>
      <c r="AA54" s="201">
        <f t="shared" si="198"/>
        <v>1406250</v>
      </c>
      <c r="AB54" s="201">
        <f t="shared" si="198"/>
        <v>1402500</v>
      </c>
      <c r="AC54" s="201">
        <f t="shared" si="198"/>
        <v>1398750</v>
      </c>
      <c r="AD54" s="201">
        <f t="shared" si="198"/>
        <v>1395000</v>
      </c>
      <c r="AE54" s="201">
        <f t="shared" si="198"/>
        <v>1391250</v>
      </c>
      <c r="AF54" s="201">
        <f t="shared" si="198"/>
        <v>1387500</v>
      </c>
      <c r="AG54" s="201">
        <f t="shared" si="198"/>
        <v>1383750</v>
      </c>
      <c r="AH54" s="201">
        <f t="shared" si="198"/>
        <v>1380000</v>
      </c>
      <c r="AI54" s="201">
        <f t="shared" si="198"/>
        <v>1376250</v>
      </c>
      <c r="AJ54" s="201">
        <f t="shared" si="198"/>
        <v>1372500</v>
      </c>
      <c r="AK54" s="201">
        <f t="shared" si="198"/>
        <v>1368750</v>
      </c>
      <c r="AL54" s="201">
        <f t="shared" si="198"/>
        <v>1365000</v>
      </c>
      <c r="AM54" s="201">
        <f t="shared" si="198"/>
        <v>1361250</v>
      </c>
      <c r="AN54" s="201">
        <f t="shared" si="198"/>
        <v>1357500</v>
      </c>
      <c r="AO54" s="201">
        <f t="shared" si="198"/>
        <v>1353750</v>
      </c>
      <c r="AP54" s="201">
        <f t="shared" si="198"/>
        <v>1350000</v>
      </c>
      <c r="AQ54" s="201">
        <f t="shared" si="198"/>
        <v>1346250</v>
      </c>
      <c r="AR54" s="201">
        <f t="shared" si="198"/>
        <v>1342500</v>
      </c>
      <c r="AS54" s="201">
        <f t="shared" si="198"/>
        <v>1338750</v>
      </c>
      <c r="AT54" s="201">
        <f t="shared" si="198"/>
        <v>1335000</v>
      </c>
      <c r="AU54" s="201">
        <f t="shared" si="198"/>
        <v>1331250</v>
      </c>
      <c r="AV54" s="201">
        <f t="shared" si="198"/>
        <v>1327500</v>
      </c>
      <c r="AW54" s="201">
        <f t="shared" si="198"/>
        <v>1323750</v>
      </c>
      <c r="AX54" s="201">
        <f t="shared" si="198"/>
        <v>1320000</v>
      </c>
      <c r="AY54" s="201">
        <f t="shared" si="198"/>
        <v>1316250</v>
      </c>
      <c r="AZ54" s="201">
        <f t="shared" si="198"/>
        <v>1312500</v>
      </c>
      <c r="BA54" s="201">
        <f t="shared" si="198"/>
        <v>1308750</v>
      </c>
      <c r="BB54" s="201">
        <f t="shared" si="198"/>
        <v>1305000</v>
      </c>
      <c r="BC54" s="201">
        <f t="shared" si="198"/>
        <v>1301250</v>
      </c>
      <c r="BD54" s="201">
        <f t="shared" si="198"/>
        <v>1297500</v>
      </c>
      <c r="BE54" s="201">
        <f t="shared" si="198"/>
        <v>1293750</v>
      </c>
      <c r="BF54" s="201">
        <f t="shared" si="198"/>
        <v>1290000</v>
      </c>
      <c r="BG54" s="201">
        <f t="shared" si="198"/>
        <v>1286250</v>
      </c>
      <c r="BH54" s="201">
        <f t="shared" si="198"/>
        <v>1282500</v>
      </c>
      <c r="BI54" s="201">
        <f t="shared" si="198"/>
        <v>1278750</v>
      </c>
      <c r="BJ54" s="201">
        <f t="shared" si="198"/>
        <v>1275000</v>
      </c>
    </row>
    <row r="55" spans="2:62" ht="15.6">
      <c r="B55" s="210" t="str">
        <f t="shared" ref="B55" si="201">B45</f>
        <v>Shop Upgrades</v>
      </c>
      <c r="C55" s="201">
        <f t="shared" si="200"/>
        <v>947625</v>
      </c>
      <c r="D55" s="201">
        <f t="shared" si="198"/>
        <v>945250</v>
      </c>
      <c r="E55" s="201">
        <f t="shared" si="198"/>
        <v>942875</v>
      </c>
      <c r="F55" s="201">
        <f t="shared" si="198"/>
        <v>940500</v>
      </c>
      <c r="G55" s="201">
        <f t="shared" si="198"/>
        <v>938125</v>
      </c>
      <c r="H55" s="201">
        <f t="shared" si="198"/>
        <v>935750</v>
      </c>
      <c r="I55" s="201">
        <f t="shared" si="198"/>
        <v>933375</v>
      </c>
      <c r="J55" s="201">
        <f t="shared" si="198"/>
        <v>931000</v>
      </c>
      <c r="K55" s="201">
        <f t="shared" si="198"/>
        <v>928625</v>
      </c>
      <c r="L55" s="201">
        <f t="shared" si="198"/>
        <v>926250</v>
      </c>
      <c r="M55" s="201">
        <f t="shared" si="198"/>
        <v>923875</v>
      </c>
      <c r="N55" s="201">
        <f t="shared" si="198"/>
        <v>921500</v>
      </c>
      <c r="O55" s="201">
        <f t="shared" si="198"/>
        <v>919125</v>
      </c>
      <c r="P55" s="201">
        <f t="shared" si="198"/>
        <v>916750</v>
      </c>
      <c r="Q55" s="201">
        <f t="shared" si="198"/>
        <v>914375</v>
      </c>
      <c r="R55" s="201">
        <f t="shared" si="198"/>
        <v>912000</v>
      </c>
      <c r="S55" s="201">
        <f t="shared" si="198"/>
        <v>909625</v>
      </c>
      <c r="T55" s="201">
        <f t="shared" si="198"/>
        <v>907250</v>
      </c>
      <c r="U55" s="201">
        <f t="shared" si="198"/>
        <v>904875</v>
      </c>
      <c r="V55" s="201">
        <f t="shared" si="198"/>
        <v>902500</v>
      </c>
      <c r="W55" s="201">
        <f t="shared" si="198"/>
        <v>900125</v>
      </c>
      <c r="X55" s="201">
        <f t="shared" si="198"/>
        <v>897750</v>
      </c>
      <c r="Y55" s="201">
        <f t="shared" si="198"/>
        <v>895375</v>
      </c>
      <c r="Z55" s="201">
        <f t="shared" si="198"/>
        <v>893000</v>
      </c>
      <c r="AA55" s="201">
        <f t="shared" si="198"/>
        <v>890625</v>
      </c>
      <c r="AB55" s="201">
        <f t="shared" si="198"/>
        <v>888250</v>
      </c>
      <c r="AC55" s="201">
        <f t="shared" si="198"/>
        <v>885875</v>
      </c>
      <c r="AD55" s="201">
        <f t="shared" si="198"/>
        <v>883500</v>
      </c>
      <c r="AE55" s="201">
        <f t="shared" si="198"/>
        <v>881125</v>
      </c>
      <c r="AF55" s="201">
        <f t="shared" si="198"/>
        <v>878750</v>
      </c>
      <c r="AG55" s="201">
        <f t="shared" si="198"/>
        <v>876375</v>
      </c>
      <c r="AH55" s="201">
        <f t="shared" si="198"/>
        <v>874000</v>
      </c>
      <c r="AI55" s="201">
        <f t="shared" si="198"/>
        <v>871625</v>
      </c>
      <c r="AJ55" s="201">
        <f t="shared" si="198"/>
        <v>869250</v>
      </c>
      <c r="AK55" s="201">
        <f t="shared" si="198"/>
        <v>866875</v>
      </c>
      <c r="AL55" s="201">
        <f t="shared" si="198"/>
        <v>864500</v>
      </c>
      <c r="AM55" s="201">
        <f t="shared" si="198"/>
        <v>862125</v>
      </c>
      <c r="AN55" s="201">
        <f t="shared" si="198"/>
        <v>859750</v>
      </c>
      <c r="AO55" s="201">
        <f t="shared" si="198"/>
        <v>857375</v>
      </c>
      <c r="AP55" s="201">
        <f t="shared" si="198"/>
        <v>855000</v>
      </c>
      <c r="AQ55" s="201">
        <f t="shared" si="198"/>
        <v>852625</v>
      </c>
      <c r="AR55" s="201">
        <f t="shared" si="198"/>
        <v>850250</v>
      </c>
      <c r="AS55" s="201">
        <f t="shared" si="198"/>
        <v>847875</v>
      </c>
      <c r="AT55" s="201">
        <f t="shared" si="198"/>
        <v>845500</v>
      </c>
      <c r="AU55" s="201">
        <f t="shared" si="198"/>
        <v>843125</v>
      </c>
      <c r="AV55" s="201">
        <f t="shared" si="198"/>
        <v>840750</v>
      </c>
      <c r="AW55" s="201">
        <f t="shared" si="198"/>
        <v>838375</v>
      </c>
      <c r="AX55" s="201">
        <f t="shared" si="198"/>
        <v>836000</v>
      </c>
      <c r="AY55" s="201">
        <f t="shared" si="198"/>
        <v>833625</v>
      </c>
      <c r="AZ55" s="201">
        <f t="shared" si="198"/>
        <v>831250</v>
      </c>
      <c r="BA55" s="201">
        <f t="shared" si="198"/>
        <v>828875</v>
      </c>
      <c r="BB55" s="201">
        <f t="shared" si="198"/>
        <v>826500</v>
      </c>
      <c r="BC55" s="201">
        <f t="shared" si="198"/>
        <v>824125</v>
      </c>
      <c r="BD55" s="201">
        <f t="shared" si="198"/>
        <v>821750</v>
      </c>
      <c r="BE55" s="201">
        <f t="shared" si="198"/>
        <v>819375</v>
      </c>
      <c r="BF55" s="201">
        <f t="shared" si="198"/>
        <v>817000</v>
      </c>
      <c r="BG55" s="201">
        <f t="shared" si="198"/>
        <v>814625</v>
      </c>
      <c r="BH55" s="201">
        <f t="shared" si="198"/>
        <v>812250</v>
      </c>
      <c r="BI55" s="201">
        <f t="shared" si="198"/>
        <v>809875</v>
      </c>
      <c r="BJ55" s="201">
        <f t="shared" si="198"/>
        <v>807500</v>
      </c>
    </row>
    <row r="56" spans="2:62" ht="15.6" hidden="1">
      <c r="B56" s="210" t="str">
        <f t="shared" ref="B56" si="202">B46</f>
        <v/>
      </c>
      <c r="C56" s="201">
        <f t="shared" si="200"/>
        <v>0</v>
      </c>
      <c r="D56" s="201">
        <f t="shared" si="198"/>
        <v>0</v>
      </c>
      <c r="E56" s="201">
        <f t="shared" si="198"/>
        <v>0</v>
      </c>
      <c r="F56" s="201">
        <f t="shared" si="198"/>
        <v>0</v>
      </c>
      <c r="G56" s="201">
        <f t="shared" si="198"/>
        <v>0</v>
      </c>
      <c r="H56" s="201">
        <f t="shared" si="198"/>
        <v>0</v>
      </c>
      <c r="I56" s="201">
        <f t="shared" si="198"/>
        <v>0</v>
      </c>
      <c r="J56" s="201">
        <f t="shared" si="198"/>
        <v>0</v>
      </c>
      <c r="K56" s="201">
        <f t="shared" si="198"/>
        <v>0</v>
      </c>
      <c r="L56" s="201">
        <f t="shared" si="198"/>
        <v>0</v>
      </c>
      <c r="M56" s="201">
        <f t="shared" si="198"/>
        <v>0</v>
      </c>
      <c r="N56" s="201">
        <f t="shared" si="198"/>
        <v>0</v>
      </c>
      <c r="O56" s="201">
        <f t="shared" si="198"/>
        <v>0</v>
      </c>
      <c r="P56" s="201">
        <f t="shared" si="198"/>
        <v>0</v>
      </c>
      <c r="Q56" s="201">
        <f t="shared" si="198"/>
        <v>0</v>
      </c>
      <c r="R56" s="201">
        <f t="shared" si="198"/>
        <v>0</v>
      </c>
      <c r="S56" s="201">
        <f t="shared" si="198"/>
        <v>0</v>
      </c>
      <c r="T56" s="201">
        <f t="shared" si="198"/>
        <v>0</v>
      </c>
      <c r="U56" s="201">
        <f t="shared" si="198"/>
        <v>0</v>
      </c>
      <c r="V56" s="201">
        <f t="shared" si="198"/>
        <v>0</v>
      </c>
      <c r="W56" s="201">
        <f t="shared" si="198"/>
        <v>0</v>
      </c>
      <c r="X56" s="201">
        <f t="shared" si="198"/>
        <v>0</v>
      </c>
      <c r="Y56" s="201">
        <f t="shared" si="198"/>
        <v>0</v>
      </c>
      <c r="Z56" s="201">
        <f t="shared" si="198"/>
        <v>0</v>
      </c>
      <c r="AA56" s="201">
        <f t="shared" si="198"/>
        <v>0</v>
      </c>
      <c r="AB56" s="201">
        <f t="shared" si="198"/>
        <v>0</v>
      </c>
      <c r="AC56" s="201">
        <f t="shared" si="198"/>
        <v>0</v>
      </c>
      <c r="AD56" s="201">
        <f t="shared" si="198"/>
        <v>0</v>
      </c>
      <c r="AE56" s="201">
        <f t="shared" si="198"/>
        <v>0</v>
      </c>
      <c r="AF56" s="201">
        <f t="shared" si="198"/>
        <v>0</v>
      </c>
      <c r="AG56" s="201">
        <f t="shared" si="198"/>
        <v>0</v>
      </c>
      <c r="AH56" s="201">
        <f t="shared" si="198"/>
        <v>0</v>
      </c>
      <c r="AI56" s="201">
        <f t="shared" si="198"/>
        <v>0</v>
      </c>
      <c r="AJ56" s="201">
        <f t="shared" si="198"/>
        <v>0</v>
      </c>
      <c r="AK56" s="201">
        <f t="shared" si="198"/>
        <v>0</v>
      </c>
      <c r="AL56" s="201">
        <f t="shared" si="198"/>
        <v>0</v>
      </c>
      <c r="AM56" s="201">
        <f t="shared" si="198"/>
        <v>0</v>
      </c>
      <c r="AN56" s="201">
        <f t="shared" si="198"/>
        <v>0</v>
      </c>
      <c r="AO56" s="201">
        <f t="shared" si="198"/>
        <v>0</v>
      </c>
      <c r="AP56" s="201">
        <f t="shared" si="198"/>
        <v>0</v>
      </c>
      <c r="AQ56" s="201">
        <f t="shared" si="198"/>
        <v>0</v>
      </c>
      <c r="AR56" s="201">
        <f t="shared" si="198"/>
        <v>0</v>
      </c>
      <c r="AS56" s="201">
        <f t="shared" si="198"/>
        <v>0</v>
      </c>
      <c r="AT56" s="201">
        <f t="shared" si="198"/>
        <v>0</v>
      </c>
      <c r="AU56" s="201">
        <f t="shared" si="198"/>
        <v>0</v>
      </c>
      <c r="AV56" s="201">
        <f t="shared" si="198"/>
        <v>0</v>
      </c>
      <c r="AW56" s="201">
        <f t="shared" si="198"/>
        <v>0</v>
      </c>
      <c r="AX56" s="201">
        <f t="shared" si="198"/>
        <v>0</v>
      </c>
      <c r="AY56" s="201">
        <f t="shared" si="198"/>
        <v>0</v>
      </c>
      <c r="AZ56" s="201">
        <f t="shared" si="198"/>
        <v>0</v>
      </c>
      <c r="BA56" s="201">
        <f t="shared" si="198"/>
        <v>0</v>
      </c>
      <c r="BB56" s="201">
        <f t="shared" si="198"/>
        <v>0</v>
      </c>
      <c r="BC56" s="201">
        <f t="shared" si="198"/>
        <v>0</v>
      </c>
      <c r="BD56" s="201">
        <f t="shared" si="198"/>
        <v>0</v>
      </c>
      <c r="BE56" s="201">
        <f t="shared" si="198"/>
        <v>0</v>
      </c>
      <c r="BF56" s="201">
        <f t="shared" si="198"/>
        <v>0</v>
      </c>
      <c r="BG56" s="201">
        <f t="shared" si="198"/>
        <v>0</v>
      </c>
      <c r="BH56" s="201">
        <f t="shared" si="198"/>
        <v>0</v>
      </c>
      <c r="BI56" s="201">
        <f t="shared" si="198"/>
        <v>0</v>
      </c>
      <c r="BJ56" s="201">
        <f t="shared" si="198"/>
        <v>0</v>
      </c>
    </row>
    <row r="57" spans="2:62" ht="15.6" hidden="1">
      <c r="B57" s="210" t="str">
        <f t="shared" ref="B57" si="203">B47</f>
        <v/>
      </c>
      <c r="C57" s="201">
        <f t="shared" si="200"/>
        <v>0</v>
      </c>
      <c r="D57" s="201">
        <f t="shared" si="198"/>
        <v>0</v>
      </c>
      <c r="E57" s="201">
        <f t="shared" si="198"/>
        <v>0</v>
      </c>
      <c r="F57" s="201">
        <f t="shared" si="198"/>
        <v>0</v>
      </c>
      <c r="G57" s="201">
        <f t="shared" si="198"/>
        <v>0</v>
      </c>
      <c r="H57" s="201">
        <f t="shared" si="198"/>
        <v>0</v>
      </c>
      <c r="I57" s="201">
        <f t="shared" si="198"/>
        <v>0</v>
      </c>
      <c r="J57" s="201">
        <f t="shared" si="198"/>
        <v>0</v>
      </c>
      <c r="K57" s="201">
        <f t="shared" si="198"/>
        <v>0</v>
      </c>
      <c r="L57" s="201">
        <f t="shared" si="198"/>
        <v>0</v>
      </c>
      <c r="M57" s="201">
        <f t="shared" si="198"/>
        <v>0</v>
      </c>
      <c r="N57" s="201">
        <f t="shared" si="198"/>
        <v>0</v>
      </c>
      <c r="O57" s="201">
        <f t="shared" si="198"/>
        <v>0</v>
      </c>
      <c r="P57" s="201">
        <f t="shared" si="198"/>
        <v>0</v>
      </c>
      <c r="Q57" s="201">
        <f t="shared" si="198"/>
        <v>0</v>
      </c>
      <c r="R57" s="201">
        <f t="shared" si="198"/>
        <v>0</v>
      </c>
      <c r="S57" s="201">
        <f t="shared" si="198"/>
        <v>0</v>
      </c>
      <c r="T57" s="201">
        <f t="shared" si="198"/>
        <v>0</v>
      </c>
      <c r="U57" s="201">
        <f t="shared" si="198"/>
        <v>0</v>
      </c>
      <c r="V57" s="201">
        <f t="shared" si="198"/>
        <v>0</v>
      </c>
      <c r="W57" s="201">
        <f t="shared" si="198"/>
        <v>0</v>
      </c>
      <c r="X57" s="201">
        <f t="shared" si="198"/>
        <v>0</v>
      </c>
      <c r="Y57" s="201">
        <f t="shared" si="198"/>
        <v>0</v>
      </c>
      <c r="Z57" s="201">
        <f t="shared" si="198"/>
        <v>0</v>
      </c>
      <c r="AA57" s="201">
        <f t="shared" si="198"/>
        <v>0</v>
      </c>
      <c r="AB57" s="201">
        <f t="shared" si="198"/>
        <v>0</v>
      </c>
      <c r="AC57" s="201">
        <f t="shared" si="198"/>
        <v>0</v>
      </c>
      <c r="AD57" s="201">
        <f t="shared" si="198"/>
        <v>0</v>
      </c>
      <c r="AE57" s="201">
        <f t="shared" si="198"/>
        <v>0</v>
      </c>
      <c r="AF57" s="201">
        <f t="shared" si="198"/>
        <v>0</v>
      </c>
      <c r="AG57" s="201">
        <f t="shared" si="198"/>
        <v>0</v>
      </c>
      <c r="AH57" s="201">
        <f t="shared" si="198"/>
        <v>0</v>
      </c>
      <c r="AI57" s="201">
        <f t="shared" si="198"/>
        <v>0</v>
      </c>
      <c r="AJ57" s="201">
        <f t="shared" si="198"/>
        <v>0</v>
      </c>
      <c r="AK57" s="201">
        <f t="shared" si="198"/>
        <v>0</v>
      </c>
      <c r="AL57" s="201">
        <f t="shared" ref="AL57:BJ57" si="204">AL27-AL47</f>
        <v>0</v>
      </c>
      <c r="AM57" s="201">
        <f t="shared" si="204"/>
        <v>0</v>
      </c>
      <c r="AN57" s="201">
        <f t="shared" si="204"/>
        <v>0</v>
      </c>
      <c r="AO57" s="201">
        <f t="shared" si="204"/>
        <v>0</v>
      </c>
      <c r="AP57" s="201">
        <f t="shared" si="204"/>
        <v>0</v>
      </c>
      <c r="AQ57" s="201">
        <f t="shared" si="204"/>
        <v>0</v>
      </c>
      <c r="AR57" s="201">
        <f t="shared" si="204"/>
        <v>0</v>
      </c>
      <c r="AS57" s="201">
        <f t="shared" si="204"/>
        <v>0</v>
      </c>
      <c r="AT57" s="201">
        <f t="shared" si="204"/>
        <v>0</v>
      </c>
      <c r="AU57" s="201">
        <f t="shared" si="204"/>
        <v>0</v>
      </c>
      <c r="AV57" s="201">
        <f t="shared" si="204"/>
        <v>0</v>
      </c>
      <c r="AW57" s="201">
        <f t="shared" si="204"/>
        <v>0</v>
      </c>
      <c r="AX57" s="201">
        <f t="shared" si="204"/>
        <v>0</v>
      </c>
      <c r="AY57" s="201">
        <f t="shared" si="204"/>
        <v>0</v>
      </c>
      <c r="AZ57" s="201">
        <f t="shared" si="204"/>
        <v>0</v>
      </c>
      <c r="BA57" s="201">
        <f t="shared" si="204"/>
        <v>0</v>
      </c>
      <c r="BB57" s="201">
        <f t="shared" si="204"/>
        <v>0</v>
      </c>
      <c r="BC57" s="201">
        <f t="shared" si="204"/>
        <v>0</v>
      </c>
      <c r="BD57" s="201">
        <f t="shared" si="204"/>
        <v>0</v>
      </c>
      <c r="BE57" s="201">
        <f t="shared" si="204"/>
        <v>0</v>
      </c>
      <c r="BF57" s="201">
        <f t="shared" si="204"/>
        <v>0</v>
      </c>
      <c r="BG57" s="201">
        <f t="shared" si="204"/>
        <v>0</v>
      </c>
      <c r="BH57" s="201">
        <f t="shared" si="204"/>
        <v>0</v>
      </c>
      <c r="BI57" s="201">
        <f t="shared" si="204"/>
        <v>0</v>
      </c>
      <c r="BJ57" s="201">
        <f t="shared" si="204"/>
        <v>0</v>
      </c>
    </row>
    <row r="58" spans="2:62" ht="15.6" hidden="1">
      <c r="B58" s="210"/>
      <c r="C58" s="201"/>
      <c r="D58" s="201"/>
      <c r="E58" s="201"/>
      <c r="F58" s="201"/>
      <c r="G58" s="201"/>
      <c r="H58" s="201"/>
      <c r="I58" s="201"/>
      <c r="J58" s="201"/>
      <c r="K58" s="201"/>
      <c r="L58" s="201"/>
      <c r="M58" s="201"/>
      <c r="N58" s="201"/>
      <c r="O58" s="201"/>
      <c r="P58" s="201"/>
      <c r="Q58" s="201"/>
      <c r="R58" s="201"/>
      <c r="S58" s="201"/>
      <c r="T58" s="201"/>
      <c r="U58" s="201"/>
      <c r="V58" s="201"/>
      <c r="W58" s="201"/>
      <c r="X58" s="201"/>
      <c r="Y58" s="201"/>
      <c r="Z58" s="201"/>
      <c r="AA58" s="201"/>
      <c r="AB58" s="201"/>
      <c r="AC58" s="201"/>
      <c r="AD58" s="201"/>
      <c r="AE58" s="201"/>
      <c r="AF58" s="201"/>
      <c r="AG58" s="201"/>
      <c r="AH58" s="201"/>
      <c r="AI58" s="201"/>
      <c r="AJ58" s="201"/>
      <c r="AK58" s="201"/>
      <c r="AL58" s="201"/>
      <c r="AM58" s="201"/>
      <c r="AN58" s="201"/>
      <c r="AO58" s="201"/>
      <c r="AP58" s="201"/>
      <c r="AQ58" s="201"/>
      <c r="AR58" s="201"/>
      <c r="AS58" s="201"/>
      <c r="AT58" s="201"/>
      <c r="AU58" s="201"/>
      <c r="AV58" s="201"/>
      <c r="AW58" s="201"/>
      <c r="AX58" s="201"/>
      <c r="AY58" s="201"/>
      <c r="AZ58" s="201"/>
      <c r="BA58" s="201"/>
      <c r="BB58" s="201"/>
      <c r="BC58" s="201"/>
      <c r="BD58" s="201"/>
      <c r="BE58" s="201"/>
      <c r="BF58" s="201"/>
      <c r="BG58" s="201"/>
      <c r="BH58" s="201"/>
      <c r="BI58" s="201"/>
      <c r="BJ58" s="201"/>
    </row>
    <row r="59" spans="2:62" ht="15.6">
      <c r="B59" s="94" t="s">
        <v>26</v>
      </c>
      <c r="C59" s="209">
        <f>SUM(C53:C58)</f>
        <v>4438875</v>
      </c>
      <c r="D59" s="209">
        <f t="shared" ref="D59" si="205">SUM(D53:D58)</f>
        <v>4427750</v>
      </c>
      <c r="E59" s="209">
        <f t="shared" ref="E59" si="206">SUM(E53:E58)</f>
        <v>4416625</v>
      </c>
      <c r="F59" s="209">
        <f t="shared" ref="F59" si="207">SUM(F53:F58)</f>
        <v>4405500</v>
      </c>
      <c r="G59" s="209">
        <f t="shared" ref="G59" si="208">SUM(G53:G58)</f>
        <v>4394375</v>
      </c>
      <c r="H59" s="209">
        <f t="shared" ref="H59" si="209">SUM(H53:H58)</f>
        <v>4383250</v>
      </c>
      <c r="I59" s="209">
        <f t="shared" ref="I59" si="210">SUM(I53:I58)</f>
        <v>4372125</v>
      </c>
      <c r="J59" s="209">
        <f t="shared" ref="J59" si="211">SUM(J53:J58)</f>
        <v>4361000</v>
      </c>
      <c r="K59" s="209">
        <f t="shared" ref="K59" si="212">SUM(K53:K58)</f>
        <v>4349875</v>
      </c>
      <c r="L59" s="209">
        <f t="shared" ref="L59" si="213">SUM(L53:L58)</f>
        <v>4338750</v>
      </c>
      <c r="M59" s="209">
        <f t="shared" ref="M59" si="214">SUM(M53:M58)</f>
        <v>4327625</v>
      </c>
      <c r="N59" s="209">
        <f t="shared" ref="N59" si="215">SUM(N53:N58)</f>
        <v>4316500</v>
      </c>
      <c r="O59" s="209">
        <f t="shared" ref="O59" si="216">SUM(O53:O58)</f>
        <v>4305375</v>
      </c>
      <c r="P59" s="209">
        <f t="shared" ref="P59" si="217">SUM(P53:P58)</f>
        <v>4294250</v>
      </c>
      <c r="Q59" s="209">
        <f t="shared" ref="Q59" si="218">SUM(Q53:Q58)</f>
        <v>4283125</v>
      </c>
      <c r="R59" s="209">
        <f t="shared" ref="R59" si="219">SUM(R53:R58)</f>
        <v>4272000</v>
      </c>
      <c r="S59" s="209">
        <f t="shared" ref="S59" si="220">SUM(S53:S58)</f>
        <v>4260875</v>
      </c>
      <c r="T59" s="209">
        <f t="shared" ref="T59" si="221">SUM(T53:T58)</f>
        <v>4249750</v>
      </c>
      <c r="U59" s="209">
        <f t="shared" ref="U59" si="222">SUM(U53:U58)</f>
        <v>4238625</v>
      </c>
      <c r="V59" s="209">
        <f t="shared" ref="V59" si="223">SUM(V53:V58)</f>
        <v>4227500</v>
      </c>
      <c r="W59" s="209">
        <f t="shared" ref="W59" si="224">SUM(W53:W58)</f>
        <v>4216375</v>
      </c>
      <c r="X59" s="209">
        <f t="shared" ref="X59" si="225">SUM(X53:X58)</f>
        <v>4205250</v>
      </c>
      <c r="Y59" s="209">
        <f t="shared" ref="Y59" si="226">SUM(Y53:Y58)</f>
        <v>4194125</v>
      </c>
      <c r="Z59" s="209">
        <f t="shared" ref="Z59" si="227">SUM(Z53:Z58)</f>
        <v>4183000</v>
      </c>
      <c r="AA59" s="209">
        <f t="shared" ref="AA59" si="228">SUM(AA53:AA58)</f>
        <v>4171875</v>
      </c>
      <c r="AB59" s="209">
        <f t="shared" ref="AB59" si="229">SUM(AB53:AB58)</f>
        <v>4160750</v>
      </c>
      <c r="AC59" s="209">
        <f t="shared" ref="AC59" si="230">SUM(AC53:AC58)</f>
        <v>4149625</v>
      </c>
      <c r="AD59" s="209">
        <f t="shared" ref="AD59" si="231">SUM(AD53:AD58)</f>
        <v>4138500</v>
      </c>
      <c r="AE59" s="209">
        <f t="shared" ref="AE59" si="232">SUM(AE53:AE58)</f>
        <v>4127375</v>
      </c>
      <c r="AF59" s="209">
        <f t="shared" ref="AF59" si="233">SUM(AF53:AF58)</f>
        <v>4116250</v>
      </c>
      <c r="AG59" s="209">
        <f t="shared" ref="AG59" si="234">SUM(AG53:AG58)</f>
        <v>4105125</v>
      </c>
      <c r="AH59" s="209">
        <f t="shared" ref="AH59" si="235">SUM(AH53:AH58)</f>
        <v>4094000</v>
      </c>
      <c r="AI59" s="209">
        <f t="shared" ref="AI59" si="236">SUM(AI53:AI58)</f>
        <v>4082875</v>
      </c>
      <c r="AJ59" s="209">
        <f t="shared" ref="AJ59" si="237">SUM(AJ53:AJ58)</f>
        <v>4071750</v>
      </c>
      <c r="AK59" s="209">
        <f t="shared" ref="AK59" si="238">SUM(AK53:AK58)</f>
        <v>4060625</v>
      </c>
      <c r="AL59" s="209">
        <f t="shared" ref="AL59" si="239">SUM(AL53:AL58)</f>
        <v>4049500</v>
      </c>
      <c r="AM59" s="209">
        <f t="shared" ref="AM59" si="240">SUM(AM53:AM58)</f>
        <v>4038375</v>
      </c>
      <c r="AN59" s="209">
        <f t="shared" ref="AN59" si="241">SUM(AN53:AN58)</f>
        <v>4027250</v>
      </c>
      <c r="AO59" s="209">
        <f t="shared" ref="AO59" si="242">SUM(AO53:AO58)</f>
        <v>4016125</v>
      </c>
      <c r="AP59" s="209">
        <f t="shared" ref="AP59" si="243">SUM(AP53:AP58)</f>
        <v>4005000</v>
      </c>
      <c r="AQ59" s="209">
        <f t="shared" ref="AQ59" si="244">SUM(AQ53:AQ58)</f>
        <v>3993875</v>
      </c>
      <c r="AR59" s="209">
        <f t="shared" ref="AR59" si="245">SUM(AR53:AR58)</f>
        <v>3982750</v>
      </c>
      <c r="AS59" s="209">
        <f t="shared" ref="AS59" si="246">SUM(AS53:AS58)</f>
        <v>3971625</v>
      </c>
      <c r="AT59" s="209">
        <f t="shared" ref="AT59" si="247">SUM(AT53:AT58)</f>
        <v>3960500</v>
      </c>
      <c r="AU59" s="209">
        <f t="shared" ref="AU59" si="248">SUM(AU53:AU58)</f>
        <v>3949375</v>
      </c>
      <c r="AV59" s="209">
        <f t="shared" ref="AV59" si="249">SUM(AV53:AV58)</f>
        <v>3938250</v>
      </c>
      <c r="AW59" s="209">
        <f t="shared" ref="AW59" si="250">SUM(AW53:AW58)</f>
        <v>3927125</v>
      </c>
      <c r="AX59" s="209">
        <f t="shared" ref="AX59" si="251">SUM(AX53:AX58)</f>
        <v>3916000</v>
      </c>
      <c r="AY59" s="209">
        <f t="shared" ref="AY59" si="252">SUM(AY53:AY58)</f>
        <v>3904875</v>
      </c>
      <c r="AZ59" s="209">
        <f t="shared" ref="AZ59" si="253">SUM(AZ53:AZ58)</f>
        <v>3893750</v>
      </c>
      <c r="BA59" s="209">
        <f t="shared" ref="BA59" si="254">SUM(BA53:BA58)</f>
        <v>3882625</v>
      </c>
      <c r="BB59" s="209">
        <f t="shared" ref="BB59" si="255">SUM(BB53:BB58)</f>
        <v>3871500</v>
      </c>
      <c r="BC59" s="209">
        <f t="shared" ref="BC59" si="256">SUM(BC53:BC58)</f>
        <v>3860375</v>
      </c>
      <c r="BD59" s="209">
        <f t="shared" ref="BD59" si="257">SUM(BD53:BD58)</f>
        <v>3849250</v>
      </c>
      <c r="BE59" s="209">
        <f t="shared" ref="BE59" si="258">SUM(BE53:BE58)</f>
        <v>3838125</v>
      </c>
      <c r="BF59" s="209">
        <f t="shared" ref="BF59" si="259">SUM(BF53:BF58)</f>
        <v>3827000</v>
      </c>
      <c r="BG59" s="209">
        <f t="shared" ref="BG59" si="260">SUM(BG53:BG58)</f>
        <v>3815875</v>
      </c>
      <c r="BH59" s="209">
        <f t="shared" ref="BH59" si="261">SUM(BH53:BH58)</f>
        <v>3804750</v>
      </c>
      <c r="BI59" s="209">
        <f t="shared" ref="BI59" si="262">SUM(BI53:BI58)</f>
        <v>3793625</v>
      </c>
      <c r="BJ59" s="209">
        <f t="shared" ref="BJ59" si="263">SUM(BJ53:BJ58)</f>
        <v>3782500</v>
      </c>
    </row>
    <row r="61" spans="2:62" ht="31.5" customHeight="1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6"/>
  <dimension ref="A2:BI44"/>
  <sheetViews>
    <sheetView showGridLines="0" zoomScale="85" zoomScaleNormal="85" workbookViewId="0">
      <selection activeCell="A2" sqref="A2"/>
    </sheetView>
  </sheetViews>
  <sheetFormatPr defaultColWidth="9" defaultRowHeight="14.4"/>
  <cols>
    <col min="1" max="1" width="28.88671875" bestFit="1" customWidth="1"/>
    <col min="2" max="61" width="15.6640625" customWidth="1"/>
  </cols>
  <sheetData>
    <row r="2" spans="1:61" ht="34.799999999999997">
      <c r="A2" s="198" t="s">
        <v>111</v>
      </c>
      <c r="B2" s="199" t="s">
        <v>112</v>
      </c>
      <c r="C2" s="199" t="s">
        <v>113</v>
      </c>
      <c r="D2" s="199" t="s">
        <v>114</v>
      </c>
      <c r="E2" s="199" t="s">
        <v>115</v>
      </c>
      <c r="F2" s="199" t="s">
        <v>116</v>
      </c>
    </row>
    <row r="3" spans="1:61" ht="15.6">
      <c r="A3" s="200" t="str">
        <f>Assumptions!A47</f>
        <v>Owner / Manager</v>
      </c>
      <c r="B3" s="201">
        <f>Assumptions!B47</f>
        <v>0</v>
      </c>
      <c r="C3" s="201">
        <f>B3*(1+Assumptions!C$4)</f>
        <v>0</v>
      </c>
      <c r="D3" s="201">
        <f>C3*(1+Assumptions!D$4)</f>
        <v>0</v>
      </c>
      <c r="E3" s="201">
        <f>D3*(1+Assumptions!E$4)</f>
        <v>0</v>
      </c>
      <c r="F3" s="201">
        <f>E3*(1+Assumptions!F$4)</f>
        <v>0</v>
      </c>
      <c r="G3" s="202"/>
      <c r="H3" s="202"/>
      <c r="I3" s="202"/>
      <c r="J3" s="202"/>
      <c r="K3" s="202"/>
    </row>
    <row r="4" spans="1:61" ht="15.6">
      <c r="A4" s="200" t="str">
        <f>Assumptions!A48</f>
        <v>CTO</v>
      </c>
      <c r="B4" s="201">
        <f>Assumptions!B48</f>
        <v>28874.416666666668</v>
      </c>
      <c r="C4" s="201">
        <f>B4*(1+Assumptions!C$4)</f>
        <v>31761.858333333337</v>
      </c>
      <c r="D4" s="201">
        <f>C4*(1+Assumptions!D$4)</f>
        <v>34938.044166666674</v>
      </c>
      <c r="E4" s="201">
        <f>D4*(1+Assumptions!E$4)</f>
        <v>38431.848583333347</v>
      </c>
      <c r="F4" s="201">
        <f>E4*(1+Assumptions!F$4)</f>
        <v>42275.033441666688</v>
      </c>
      <c r="G4" s="202"/>
      <c r="H4" s="202"/>
      <c r="I4" s="202"/>
      <c r="J4" s="202"/>
      <c r="K4" s="202"/>
    </row>
    <row r="5" spans="1:61" ht="15.6">
      <c r="A5" s="200" t="str">
        <f>Assumptions!A49</f>
        <v>AI &amp; Software Engineers</v>
      </c>
      <c r="B5" s="201">
        <f>Assumptions!B49</f>
        <v>13483.666666666666</v>
      </c>
      <c r="C5" s="201">
        <f>B5*(1+Assumptions!C$4)</f>
        <v>14832.033333333335</v>
      </c>
      <c r="D5" s="201">
        <f>C5*(1+Assumptions!D$4)</f>
        <v>16315.236666666669</v>
      </c>
      <c r="E5" s="201">
        <f>D5*(1+Assumptions!E$4)</f>
        <v>17946.760333333339</v>
      </c>
      <c r="F5" s="201">
        <f>E5*(1+Assumptions!F$4)</f>
        <v>19741.436366666676</v>
      </c>
      <c r="G5" s="202"/>
      <c r="H5" s="202"/>
      <c r="I5" s="202"/>
      <c r="J5" s="202"/>
      <c r="K5" s="202"/>
    </row>
    <row r="6" spans="1:61" ht="15.6">
      <c r="A6" s="200" t="str">
        <f>Assumptions!A50</f>
        <v>Compliance &amp; Security Lead</v>
      </c>
      <c r="B6" s="201">
        <f>Assumptions!B50</f>
        <v>9215.5</v>
      </c>
      <c r="C6" s="201">
        <f>B6*(1+Assumptions!C$4)</f>
        <v>10137.050000000001</v>
      </c>
      <c r="D6" s="201">
        <f>C6*(1+Assumptions!D$4)</f>
        <v>11150.755000000003</v>
      </c>
      <c r="E6" s="201">
        <f>D6*(1+Assumptions!E$4)</f>
        <v>12265.830500000004</v>
      </c>
      <c r="F6" s="201">
        <f>E6*(1+Assumptions!F$4)</f>
        <v>13492.413550000005</v>
      </c>
      <c r="G6" s="202"/>
      <c r="H6" s="202"/>
      <c r="I6" s="202"/>
      <c r="J6" s="202"/>
      <c r="K6" s="202"/>
    </row>
    <row r="7" spans="1:61" ht="15.75" customHeight="1">
      <c r="A7" s="200" t="str">
        <f>Assumptions!A51</f>
        <v>Marketing Specialist</v>
      </c>
      <c r="B7" s="201">
        <f>Assumptions!B51</f>
        <v>7536.333333333333</v>
      </c>
      <c r="C7" s="201">
        <f>B7*(1+Assumptions!C$4)</f>
        <v>8289.9666666666672</v>
      </c>
      <c r="D7" s="201">
        <f>C7*(1+Assumptions!D$4)</f>
        <v>9118.963333333335</v>
      </c>
      <c r="E7" s="201">
        <f>D7*(1+Assumptions!E$4)</f>
        <v>10030.859666666669</v>
      </c>
      <c r="F7" s="201">
        <f>E7*(1+Assumptions!F$4)</f>
        <v>11033.945633333336</v>
      </c>
      <c r="G7" s="202"/>
      <c r="H7" s="202"/>
      <c r="I7" s="202"/>
      <c r="J7" s="202"/>
      <c r="K7" s="202"/>
    </row>
    <row r="8" spans="1:61" ht="13.5" customHeight="1">
      <c r="A8" s="200" t="str">
        <f>Assumptions!A52</f>
        <v>Admin Staff</v>
      </c>
      <c r="B8" s="201">
        <f>Assumptions!B52</f>
        <v>3834.1666666666665</v>
      </c>
      <c r="C8" s="201">
        <f>B8*(1+Assumptions!C$4)</f>
        <v>4217.5833333333339</v>
      </c>
      <c r="D8" s="201">
        <f>C8*(1+Assumptions!D$4)</f>
        <v>4639.3416666666681</v>
      </c>
      <c r="E8" s="201">
        <f>D8*(1+Assumptions!E$4)</f>
        <v>5103.275833333335</v>
      </c>
      <c r="F8" s="201">
        <f>E8*(1+Assumptions!F$4)</f>
        <v>5613.6034166666686</v>
      </c>
      <c r="G8" s="202"/>
      <c r="H8" s="202"/>
      <c r="I8" s="202"/>
      <c r="J8" s="202"/>
      <c r="K8" s="202"/>
    </row>
    <row r="9" spans="1:61" ht="15.6">
      <c r="A9" s="200" t="str">
        <f>Assumptions!A53</f>
        <v>Manufacturing Technicians</v>
      </c>
      <c r="B9" s="201">
        <f>Assumptions!B53</f>
        <v>4158.166666666667</v>
      </c>
      <c r="C9" s="201">
        <f>B9*(1+Assumptions!C$4)</f>
        <v>4573.9833333333345</v>
      </c>
      <c r="D9" s="201">
        <f>C9*(1+Assumptions!D$4)</f>
        <v>5031.381666666668</v>
      </c>
      <c r="E9" s="201">
        <f>D9*(1+Assumptions!E$4)</f>
        <v>5534.5198333333356</v>
      </c>
      <c r="F9" s="201">
        <f>E9*(1+Assumptions!F$4)</f>
        <v>6087.9718166666698</v>
      </c>
      <c r="G9" s="202"/>
      <c r="H9" s="202"/>
      <c r="I9" s="202"/>
      <c r="J9" s="202"/>
      <c r="K9" s="202"/>
    </row>
    <row r="10" spans="1:61" ht="15.6">
      <c r="A10" s="94" t="s">
        <v>26</v>
      </c>
      <c r="B10" s="203">
        <f>SUM(B3:B9)</f>
        <v>67102.25</v>
      </c>
      <c r="C10" s="203">
        <f>SUM(C3:C9)</f>
        <v>73812.475000000006</v>
      </c>
      <c r="D10" s="203">
        <f>SUM(D3:D9)</f>
        <v>81193.722500000033</v>
      </c>
      <c r="E10" s="203">
        <f>SUM(E3:E9)</f>
        <v>89313.094750000033</v>
      </c>
      <c r="F10" s="203">
        <f>SUM(F3:F9)</f>
        <v>98244.404225000049</v>
      </c>
    </row>
    <row r="14" spans="1:61" ht="17.399999999999999">
      <c r="A14" s="204" t="s">
        <v>117</v>
      </c>
      <c r="B14" s="171" t="s">
        <v>15</v>
      </c>
      <c r="C14" s="171" t="s">
        <v>41</v>
      </c>
      <c r="D14" s="171" t="s">
        <v>42</v>
      </c>
      <c r="E14" s="171" t="s">
        <v>43</v>
      </c>
      <c r="F14" s="171" t="s">
        <v>44</v>
      </c>
      <c r="G14" s="171" t="s">
        <v>45</v>
      </c>
      <c r="H14" s="171" t="s">
        <v>46</v>
      </c>
      <c r="I14" s="171" t="s">
        <v>47</v>
      </c>
      <c r="J14" s="171" t="s">
        <v>48</v>
      </c>
      <c r="K14" s="171" t="s">
        <v>49</v>
      </c>
      <c r="L14" s="171" t="s">
        <v>50</v>
      </c>
      <c r="M14" s="171" t="s">
        <v>51</v>
      </c>
      <c r="N14" s="171" t="s">
        <v>20</v>
      </c>
      <c r="O14" s="171" t="s">
        <v>52</v>
      </c>
      <c r="P14" s="171" t="s">
        <v>53</v>
      </c>
      <c r="Q14" s="171" t="s">
        <v>54</v>
      </c>
      <c r="R14" s="171" t="s">
        <v>55</v>
      </c>
      <c r="S14" s="171" t="s">
        <v>56</v>
      </c>
      <c r="T14" s="171" t="s">
        <v>57</v>
      </c>
      <c r="U14" s="171" t="s">
        <v>58</v>
      </c>
      <c r="V14" s="171" t="s">
        <v>59</v>
      </c>
      <c r="W14" s="171" t="s">
        <v>60</v>
      </c>
      <c r="X14" s="171" t="s">
        <v>61</v>
      </c>
      <c r="Y14" s="171" t="s">
        <v>62</v>
      </c>
      <c r="Z14" s="171" t="s">
        <v>63</v>
      </c>
      <c r="AA14" s="171" t="s">
        <v>64</v>
      </c>
      <c r="AB14" s="171" t="s">
        <v>65</v>
      </c>
      <c r="AC14" s="171" t="s">
        <v>66</v>
      </c>
      <c r="AD14" s="171" t="s">
        <v>67</v>
      </c>
      <c r="AE14" s="171" t="s">
        <v>68</v>
      </c>
      <c r="AF14" s="171" t="s">
        <v>69</v>
      </c>
      <c r="AG14" s="171" t="s">
        <v>70</v>
      </c>
      <c r="AH14" s="171" t="s">
        <v>71</v>
      </c>
      <c r="AI14" s="171" t="s">
        <v>72</v>
      </c>
      <c r="AJ14" s="171" t="s">
        <v>73</v>
      </c>
      <c r="AK14" s="171" t="s">
        <v>74</v>
      </c>
      <c r="AL14" s="171" t="s">
        <v>75</v>
      </c>
      <c r="AM14" s="171" t="s">
        <v>76</v>
      </c>
      <c r="AN14" s="171" t="s">
        <v>77</v>
      </c>
      <c r="AO14" s="171" t="s">
        <v>78</v>
      </c>
      <c r="AP14" s="171" t="s">
        <v>79</v>
      </c>
      <c r="AQ14" s="171" t="s">
        <v>80</v>
      </c>
      <c r="AR14" s="171" t="s">
        <v>81</v>
      </c>
      <c r="AS14" s="171" t="s">
        <v>82</v>
      </c>
      <c r="AT14" s="171" t="s">
        <v>83</v>
      </c>
      <c r="AU14" s="171" t="s">
        <v>84</v>
      </c>
      <c r="AV14" s="171" t="s">
        <v>85</v>
      </c>
      <c r="AW14" s="171" t="s">
        <v>86</v>
      </c>
      <c r="AX14" s="171" t="s">
        <v>87</v>
      </c>
      <c r="AY14" s="171" t="s">
        <v>88</v>
      </c>
      <c r="AZ14" s="171" t="s">
        <v>89</v>
      </c>
      <c r="BA14" s="171" t="s">
        <v>90</v>
      </c>
      <c r="BB14" s="171" t="s">
        <v>91</v>
      </c>
      <c r="BC14" s="171" t="s">
        <v>92</v>
      </c>
      <c r="BD14" s="171" t="s">
        <v>93</v>
      </c>
      <c r="BE14" s="171" t="s">
        <v>94</v>
      </c>
      <c r="BF14" s="171" t="s">
        <v>95</v>
      </c>
      <c r="BG14" s="171" t="s">
        <v>96</v>
      </c>
      <c r="BH14" s="171" t="s">
        <v>97</v>
      </c>
      <c r="BI14" s="171" t="s">
        <v>98</v>
      </c>
    </row>
    <row r="15" spans="1:61" ht="15.6">
      <c r="A15" s="205" t="str">
        <f>Assumptions!A47</f>
        <v>Owner / Manager</v>
      </c>
      <c r="B15" s="206">
        <f>Assumptions!$C47</f>
        <v>1</v>
      </c>
      <c r="C15" s="206">
        <f>Assumptions!$C47</f>
        <v>1</v>
      </c>
      <c r="D15" s="206">
        <f>Assumptions!$C47</f>
        <v>1</v>
      </c>
      <c r="E15" s="206">
        <f>Assumptions!$C47</f>
        <v>1</v>
      </c>
      <c r="F15" s="206">
        <f>Assumptions!$C47</f>
        <v>1</v>
      </c>
      <c r="G15" s="206">
        <f>Assumptions!$C47</f>
        <v>1</v>
      </c>
      <c r="H15" s="206">
        <f>Assumptions!$C47</f>
        <v>1</v>
      </c>
      <c r="I15" s="206">
        <f>Assumptions!$C47</f>
        <v>1</v>
      </c>
      <c r="J15" s="206">
        <f>Assumptions!$C47</f>
        <v>1</v>
      </c>
      <c r="K15" s="206">
        <f>Assumptions!$C47</f>
        <v>1</v>
      </c>
      <c r="L15" s="206">
        <f>Assumptions!$C47</f>
        <v>1</v>
      </c>
      <c r="M15" s="206">
        <f>Assumptions!$C47</f>
        <v>1</v>
      </c>
      <c r="N15" s="206">
        <f>Assumptions!$D47</f>
        <v>1</v>
      </c>
      <c r="O15" s="206">
        <f>Assumptions!$D47</f>
        <v>1</v>
      </c>
      <c r="P15" s="206">
        <f>Assumptions!$D47</f>
        <v>1</v>
      </c>
      <c r="Q15" s="206">
        <f>Assumptions!$D47</f>
        <v>1</v>
      </c>
      <c r="R15" s="206">
        <f>Assumptions!$D47</f>
        <v>1</v>
      </c>
      <c r="S15" s="206">
        <f>Assumptions!$D47</f>
        <v>1</v>
      </c>
      <c r="T15" s="206">
        <f>Assumptions!$D47</f>
        <v>1</v>
      </c>
      <c r="U15" s="206">
        <f>Assumptions!$D47</f>
        <v>1</v>
      </c>
      <c r="V15" s="206">
        <f>Assumptions!$D47</f>
        <v>1</v>
      </c>
      <c r="W15" s="206">
        <f>Assumptions!$D47</f>
        <v>1</v>
      </c>
      <c r="X15" s="206">
        <f>Assumptions!$D47</f>
        <v>1</v>
      </c>
      <c r="Y15" s="206">
        <f>Assumptions!$D47</f>
        <v>1</v>
      </c>
      <c r="Z15" s="206">
        <f>Assumptions!$E47</f>
        <v>1</v>
      </c>
      <c r="AA15" s="206">
        <f>Assumptions!$E47</f>
        <v>1</v>
      </c>
      <c r="AB15" s="206">
        <f>Assumptions!$E47</f>
        <v>1</v>
      </c>
      <c r="AC15" s="206">
        <f>Assumptions!$E47</f>
        <v>1</v>
      </c>
      <c r="AD15" s="206">
        <f>Assumptions!$E47</f>
        <v>1</v>
      </c>
      <c r="AE15" s="206">
        <f>Assumptions!$E47</f>
        <v>1</v>
      </c>
      <c r="AF15" s="206">
        <f>Assumptions!$E47</f>
        <v>1</v>
      </c>
      <c r="AG15" s="206">
        <f>Assumptions!$E47</f>
        <v>1</v>
      </c>
      <c r="AH15" s="206">
        <f>Assumptions!$E47</f>
        <v>1</v>
      </c>
      <c r="AI15" s="206">
        <f>Assumptions!$E47</f>
        <v>1</v>
      </c>
      <c r="AJ15" s="206">
        <f>Assumptions!$E47</f>
        <v>1</v>
      </c>
      <c r="AK15" s="206">
        <f>Assumptions!$E47</f>
        <v>1</v>
      </c>
      <c r="AL15" s="206">
        <f>Assumptions!$F47</f>
        <v>1</v>
      </c>
      <c r="AM15" s="206">
        <f>Assumptions!$F47</f>
        <v>1</v>
      </c>
      <c r="AN15" s="206">
        <f>Assumptions!$F47</f>
        <v>1</v>
      </c>
      <c r="AO15" s="206">
        <f>Assumptions!$F47</f>
        <v>1</v>
      </c>
      <c r="AP15" s="206">
        <f>Assumptions!$F47</f>
        <v>1</v>
      </c>
      <c r="AQ15" s="206">
        <f>Assumptions!$F47</f>
        <v>1</v>
      </c>
      <c r="AR15" s="206">
        <f>Assumptions!$F47</f>
        <v>1</v>
      </c>
      <c r="AS15" s="206">
        <f>Assumptions!$F47</f>
        <v>1</v>
      </c>
      <c r="AT15" s="206">
        <f>Assumptions!$F47</f>
        <v>1</v>
      </c>
      <c r="AU15" s="206">
        <f>Assumptions!$F47</f>
        <v>1</v>
      </c>
      <c r="AV15" s="206">
        <f>Assumptions!$F47</f>
        <v>1</v>
      </c>
      <c r="AW15" s="206">
        <f>Assumptions!$F47</f>
        <v>1</v>
      </c>
      <c r="AX15" s="206">
        <f>Assumptions!$G47</f>
        <v>1</v>
      </c>
      <c r="AY15" s="206">
        <f>Assumptions!$G47</f>
        <v>1</v>
      </c>
      <c r="AZ15" s="206">
        <f>Assumptions!$G47</f>
        <v>1</v>
      </c>
      <c r="BA15" s="206">
        <f>Assumptions!$G47</f>
        <v>1</v>
      </c>
      <c r="BB15" s="206">
        <f>Assumptions!$G47</f>
        <v>1</v>
      </c>
      <c r="BC15" s="206">
        <f>Assumptions!$G47</f>
        <v>1</v>
      </c>
      <c r="BD15" s="206">
        <f>Assumptions!$G47</f>
        <v>1</v>
      </c>
      <c r="BE15" s="206">
        <f>Assumptions!$G47</f>
        <v>1</v>
      </c>
      <c r="BF15" s="206">
        <f>Assumptions!$G47</f>
        <v>1</v>
      </c>
      <c r="BG15" s="206">
        <f>Assumptions!$G47</f>
        <v>1</v>
      </c>
      <c r="BH15" s="206">
        <f>Assumptions!$G47</f>
        <v>1</v>
      </c>
      <c r="BI15" s="206">
        <f>Assumptions!$G47</f>
        <v>1</v>
      </c>
    </row>
    <row r="16" spans="1:61" ht="15.6">
      <c r="A16" s="205" t="str">
        <f>Assumptions!A48</f>
        <v>CTO</v>
      </c>
      <c r="B16" s="206">
        <f>Assumptions!$C48</f>
        <v>1</v>
      </c>
      <c r="C16" s="206">
        <f>Assumptions!$C48</f>
        <v>1</v>
      </c>
      <c r="D16" s="206">
        <f>Assumptions!$C48</f>
        <v>1</v>
      </c>
      <c r="E16" s="206">
        <f>Assumptions!$C48</f>
        <v>1</v>
      </c>
      <c r="F16" s="206">
        <f>Assumptions!$C48</f>
        <v>1</v>
      </c>
      <c r="G16" s="206">
        <f>Assumptions!$C48</f>
        <v>1</v>
      </c>
      <c r="H16" s="206">
        <f>Assumptions!$C48</f>
        <v>1</v>
      </c>
      <c r="I16" s="206">
        <f>Assumptions!$C48</f>
        <v>1</v>
      </c>
      <c r="J16" s="206">
        <f>Assumptions!$C48</f>
        <v>1</v>
      </c>
      <c r="K16" s="206">
        <f>Assumptions!$C48</f>
        <v>1</v>
      </c>
      <c r="L16" s="206">
        <f>Assumptions!$C48</f>
        <v>1</v>
      </c>
      <c r="M16" s="206">
        <f>Assumptions!$C48</f>
        <v>1</v>
      </c>
      <c r="N16" s="206">
        <f>Assumptions!$D48</f>
        <v>1</v>
      </c>
      <c r="O16" s="206">
        <f>Assumptions!$D48</f>
        <v>1</v>
      </c>
      <c r="P16" s="206">
        <f>Assumptions!$D48</f>
        <v>1</v>
      </c>
      <c r="Q16" s="206">
        <f>Assumptions!$D48</f>
        <v>1</v>
      </c>
      <c r="R16" s="206">
        <f>Assumptions!$D48</f>
        <v>1</v>
      </c>
      <c r="S16" s="206">
        <f>Assumptions!$D48</f>
        <v>1</v>
      </c>
      <c r="T16" s="206">
        <f>Assumptions!$D48</f>
        <v>1</v>
      </c>
      <c r="U16" s="206">
        <f>Assumptions!$D48</f>
        <v>1</v>
      </c>
      <c r="V16" s="206">
        <f>Assumptions!$D48</f>
        <v>1</v>
      </c>
      <c r="W16" s="206">
        <f>Assumptions!$D48</f>
        <v>1</v>
      </c>
      <c r="X16" s="206">
        <f>Assumptions!$D48</f>
        <v>1</v>
      </c>
      <c r="Y16" s="206">
        <f>Assumptions!$D48</f>
        <v>1</v>
      </c>
      <c r="Z16" s="206">
        <f>Assumptions!$E48</f>
        <v>1</v>
      </c>
      <c r="AA16" s="206">
        <f>Assumptions!$E48</f>
        <v>1</v>
      </c>
      <c r="AB16" s="206">
        <f>Assumptions!$E48</f>
        <v>1</v>
      </c>
      <c r="AC16" s="206">
        <f>Assumptions!$E48</f>
        <v>1</v>
      </c>
      <c r="AD16" s="206">
        <f>Assumptions!$E48</f>
        <v>1</v>
      </c>
      <c r="AE16" s="206">
        <f>Assumptions!$E48</f>
        <v>1</v>
      </c>
      <c r="AF16" s="206">
        <f>Assumptions!$E48</f>
        <v>1</v>
      </c>
      <c r="AG16" s="206">
        <f>Assumptions!$E48</f>
        <v>1</v>
      </c>
      <c r="AH16" s="206">
        <f>Assumptions!$E48</f>
        <v>1</v>
      </c>
      <c r="AI16" s="206">
        <f>Assumptions!$E48</f>
        <v>1</v>
      </c>
      <c r="AJ16" s="206">
        <f>Assumptions!$E48</f>
        <v>1</v>
      </c>
      <c r="AK16" s="206">
        <f>Assumptions!$E48</f>
        <v>1</v>
      </c>
      <c r="AL16" s="206">
        <f>Assumptions!$F48</f>
        <v>1</v>
      </c>
      <c r="AM16" s="206">
        <f>Assumptions!$F48</f>
        <v>1</v>
      </c>
      <c r="AN16" s="206">
        <f>Assumptions!$F48</f>
        <v>1</v>
      </c>
      <c r="AO16" s="206">
        <f>Assumptions!$F48</f>
        <v>1</v>
      </c>
      <c r="AP16" s="206">
        <f>Assumptions!$F48</f>
        <v>1</v>
      </c>
      <c r="AQ16" s="206">
        <f>Assumptions!$F48</f>
        <v>1</v>
      </c>
      <c r="AR16" s="206">
        <f>Assumptions!$F48</f>
        <v>1</v>
      </c>
      <c r="AS16" s="206">
        <f>Assumptions!$F48</f>
        <v>1</v>
      </c>
      <c r="AT16" s="206">
        <f>Assumptions!$F48</f>
        <v>1</v>
      </c>
      <c r="AU16" s="206">
        <f>Assumptions!$F48</f>
        <v>1</v>
      </c>
      <c r="AV16" s="206">
        <f>Assumptions!$F48</f>
        <v>1</v>
      </c>
      <c r="AW16" s="206">
        <f>Assumptions!$F48</f>
        <v>1</v>
      </c>
      <c r="AX16" s="206">
        <f>Assumptions!$G48</f>
        <v>1</v>
      </c>
      <c r="AY16" s="206">
        <f>Assumptions!$G48</f>
        <v>1</v>
      </c>
      <c r="AZ16" s="206">
        <f>Assumptions!$G48</f>
        <v>1</v>
      </c>
      <c r="BA16" s="206">
        <f>Assumptions!$G48</f>
        <v>1</v>
      </c>
      <c r="BB16" s="206">
        <f>Assumptions!$G48</f>
        <v>1</v>
      </c>
      <c r="BC16" s="206">
        <f>Assumptions!$G48</f>
        <v>1</v>
      </c>
      <c r="BD16" s="206">
        <f>Assumptions!$G48</f>
        <v>1</v>
      </c>
      <c r="BE16" s="206">
        <f>Assumptions!$G48</f>
        <v>1</v>
      </c>
      <c r="BF16" s="206">
        <f>Assumptions!$G48</f>
        <v>1</v>
      </c>
      <c r="BG16" s="206">
        <f>Assumptions!$G48</f>
        <v>1</v>
      </c>
      <c r="BH16" s="206">
        <f>Assumptions!$G48</f>
        <v>1</v>
      </c>
      <c r="BI16" s="206">
        <f>Assumptions!$G48</f>
        <v>1</v>
      </c>
    </row>
    <row r="17" spans="1:61" ht="15.6">
      <c r="A17" s="205" t="str">
        <f>Assumptions!A49</f>
        <v>AI &amp; Software Engineers</v>
      </c>
      <c r="B17" s="206">
        <f>Assumptions!$C49</f>
        <v>1</v>
      </c>
      <c r="C17" s="206">
        <f>Assumptions!$C49</f>
        <v>1</v>
      </c>
      <c r="D17" s="206">
        <f>Assumptions!$C49</f>
        <v>1</v>
      </c>
      <c r="E17" s="206">
        <f>Assumptions!$C49</f>
        <v>1</v>
      </c>
      <c r="F17" s="206">
        <f>Assumptions!$C49</f>
        <v>1</v>
      </c>
      <c r="G17" s="206">
        <f>Assumptions!$C49</f>
        <v>1</v>
      </c>
      <c r="H17" s="206">
        <f>Assumptions!$C49</f>
        <v>1</v>
      </c>
      <c r="I17" s="206">
        <f>Assumptions!$C49</f>
        <v>1</v>
      </c>
      <c r="J17" s="206">
        <f>Assumptions!$C49</f>
        <v>1</v>
      </c>
      <c r="K17" s="206">
        <f>Assumptions!$C49</f>
        <v>1</v>
      </c>
      <c r="L17" s="206">
        <f>Assumptions!$C49</f>
        <v>1</v>
      </c>
      <c r="M17" s="206">
        <f>Assumptions!$C49</f>
        <v>1</v>
      </c>
      <c r="N17" s="206">
        <f>Assumptions!$D49</f>
        <v>1</v>
      </c>
      <c r="O17" s="206">
        <f>Assumptions!$D49</f>
        <v>1</v>
      </c>
      <c r="P17" s="206">
        <f>Assumptions!$D49</f>
        <v>1</v>
      </c>
      <c r="Q17" s="206">
        <f>Assumptions!$D49</f>
        <v>1</v>
      </c>
      <c r="R17" s="206">
        <f>Assumptions!$D49</f>
        <v>1</v>
      </c>
      <c r="S17" s="206">
        <f>Assumptions!$D49</f>
        <v>1</v>
      </c>
      <c r="T17" s="206">
        <f>Assumptions!$D49</f>
        <v>1</v>
      </c>
      <c r="U17" s="206">
        <f>Assumptions!$D49</f>
        <v>1</v>
      </c>
      <c r="V17" s="206">
        <f>Assumptions!$D49</f>
        <v>1</v>
      </c>
      <c r="W17" s="206">
        <f>Assumptions!$D49</f>
        <v>1</v>
      </c>
      <c r="X17" s="206">
        <f>Assumptions!$D49</f>
        <v>1</v>
      </c>
      <c r="Y17" s="206">
        <f>Assumptions!$D49</f>
        <v>1</v>
      </c>
      <c r="Z17" s="206">
        <f>Assumptions!$E49</f>
        <v>2</v>
      </c>
      <c r="AA17" s="206">
        <f>Assumptions!$E49</f>
        <v>2</v>
      </c>
      <c r="AB17" s="206">
        <f>Assumptions!$E49</f>
        <v>2</v>
      </c>
      <c r="AC17" s="206">
        <f>Assumptions!$E49</f>
        <v>2</v>
      </c>
      <c r="AD17" s="206">
        <f>Assumptions!$E49</f>
        <v>2</v>
      </c>
      <c r="AE17" s="206">
        <f>Assumptions!$E49</f>
        <v>2</v>
      </c>
      <c r="AF17" s="206">
        <f>Assumptions!$E49</f>
        <v>2</v>
      </c>
      <c r="AG17" s="206">
        <f>Assumptions!$E49</f>
        <v>2</v>
      </c>
      <c r="AH17" s="206">
        <f>Assumptions!$E49</f>
        <v>2</v>
      </c>
      <c r="AI17" s="206">
        <f>Assumptions!$E49</f>
        <v>2</v>
      </c>
      <c r="AJ17" s="206">
        <f>Assumptions!$E49</f>
        <v>2</v>
      </c>
      <c r="AK17" s="206">
        <f>Assumptions!$E49</f>
        <v>2</v>
      </c>
      <c r="AL17" s="206">
        <f>Assumptions!$F49</f>
        <v>2</v>
      </c>
      <c r="AM17" s="206">
        <f>Assumptions!$F49</f>
        <v>2</v>
      </c>
      <c r="AN17" s="206">
        <f>Assumptions!$F49</f>
        <v>2</v>
      </c>
      <c r="AO17" s="206">
        <f>Assumptions!$F49</f>
        <v>2</v>
      </c>
      <c r="AP17" s="206">
        <f>Assumptions!$F49</f>
        <v>2</v>
      </c>
      <c r="AQ17" s="206">
        <f>Assumptions!$F49</f>
        <v>2</v>
      </c>
      <c r="AR17" s="206">
        <f>Assumptions!$F49</f>
        <v>2</v>
      </c>
      <c r="AS17" s="206">
        <f>Assumptions!$F49</f>
        <v>2</v>
      </c>
      <c r="AT17" s="206">
        <f>Assumptions!$F49</f>
        <v>2</v>
      </c>
      <c r="AU17" s="206">
        <f>Assumptions!$F49</f>
        <v>2</v>
      </c>
      <c r="AV17" s="206">
        <f>Assumptions!$F49</f>
        <v>2</v>
      </c>
      <c r="AW17" s="206">
        <f>Assumptions!$F49</f>
        <v>2</v>
      </c>
      <c r="AX17" s="206">
        <f>Assumptions!$G49</f>
        <v>2</v>
      </c>
      <c r="AY17" s="206">
        <f>Assumptions!$G49</f>
        <v>2</v>
      </c>
      <c r="AZ17" s="206">
        <f>Assumptions!$G49</f>
        <v>2</v>
      </c>
      <c r="BA17" s="206">
        <f>Assumptions!$G49</f>
        <v>2</v>
      </c>
      <c r="BB17" s="206">
        <f>Assumptions!$G49</f>
        <v>2</v>
      </c>
      <c r="BC17" s="206">
        <f>Assumptions!$G49</f>
        <v>2</v>
      </c>
      <c r="BD17" s="206">
        <f>Assumptions!$G49</f>
        <v>2</v>
      </c>
      <c r="BE17" s="206">
        <f>Assumptions!$G49</f>
        <v>2</v>
      </c>
      <c r="BF17" s="206">
        <f>Assumptions!$G49</f>
        <v>2</v>
      </c>
      <c r="BG17" s="206">
        <f>Assumptions!$G49</f>
        <v>2</v>
      </c>
      <c r="BH17" s="206">
        <f>Assumptions!$G49</f>
        <v>2</v>
      </c>
      <c r="BI17" s="206">
        <f>Assumptions!$G49</f>
        <v>2</v>
      </c>
    </row>
    <row r="18" spans="1:61" ht="15.6">
      <c r="A18" s="205" t="str">
        <f>Assumptions!A50</f>
        <v>Compliance &amp; Security Lead</v>
      </c>
      <c r="B18" s="206">
        <f>Assumptions!$C50</f>
        <v>1</v>
      </c>
      <c r="C18" s="206">
        <f>Assumptions!$C50</f>
        <v>1</v>
      </c>
      <c r="D18" s="206">
        <f>Assumptions!$C50</f>
        <v>1</v>
      </c>
      <c r="E18" s="206">
        <f>Assumptions!$C50</f>
        <v>1</v>
      </c>
      <c r="F18" s="206">
        <f>Assumptions!$C50</f>
        <v>1</v>
      </c>
      <c r="G18" s="206">
        <f>Assumptions!$C50</f>
        <v>1</v>
      </c>
      <c r="H18" s="206">
        <f>Assumptions!$C50</f>
        <v>1</v>
      </c>
      <c r="I18" s="206">
        <f>Assumptions!$C50</f>
        <v>1</v>
      </c>
      <c r="J18" s="206">
        <f>Assumptions!$C50</f>
        <v>1</v>
      </c>
      <c r="K18" s="206">
        <f>Assumptions!$C50</f>
        <v>1</v>
      </c>
      <c r="L18" s="206">
        <f>Assumptions!$C50</f>
        <v>1</v>
      </c>
      <c r="M18" s="206">
        <f>Assumptions!$C50</f>
        <v>1</v>
      </c>
      <c r="N18" s="206">
        <f>Assumptions!$D50</f>
        <v>1</v>
      </c>
      <c r="O18" s="206">
        <f>Assumptions!$D50</f>
        <v>1</v>
      </c>
      <c r="P18" s="206">
        <f>Assumptions!$D50</f>
        <v>1</v>
      </c>
      <c r="Q18" s="206">
        <f>Assumptions!$D50</f>
        <v>1</v>
      </c>
      <c r="R18" s="206">
        <f>Assumptions!$D50</f>
        <v>1</v>
      </c>
      <c r="S18" s="206">
        <f>Assumptions!$D50</f>
        <v>1</v>
      </c>
      <c r="T18" s="206">
        <f>Assumptions!$D50</f>
        <v>1</v>
      </c>
      <c r="U18" s="206">
        <f>Assumptions!$D50</f>
        <v>1</v>
      </c>
      <c r="V18" s="206">
        <f>Assumptions!$D50</f>
        <v>1</v>
      </c>
      <c r="W18" s="206">
        <f>Assumptions!$D50</f>
        <v>1</v>
      </c>
      <c r="X18" s="206">
        <f>Assumptions!$D50</f>
        <v>1</v>
      </c>
      <c r="Y18" s="206">
        <f>Assumptions!$D50</f>
        <v>1</v>
      </c>
      <c r="Z18" s="206">
        <f>Assumptions!$E50</f>
        <v>1</v>
      </c>
      <c r="AA18" s="206">
        <f>Assumptions!$E50</f>
        <v>1</v>
      </c>
      <c r="AB18" s="206">
        <f>Assumptions!$E50</f>
        <v>1</v>
      </c>
      <c r="AC18" s="206">
        <f>Assumptions!$E50</f>
        <v>1</v>
      </c>
      <c r="AD18" s="206">
        <f>Assumptions!$E50</f>
        <v>1</v>
      </c>
      <c r="AE18" s="206">
        <f>Assumptions!$E50</f>
        <v>1</v>
      </c>
      <c r="AF18" s="206">
        <f>Assumptions!$E50</f>
        <v>1</v>
      </c>
      <c r="AG18" s="206">
        <f>Assumptions!$E50</f>
        <v>1</v>
      </c>
      <c r="AH18" s="206">
        <f>Assumptions!$E50</f>
        <v>1</v>
      </c>
      <c r="AI18" s="206">
        <f>Assumptions!$E50</f>
        <v>1</v>
      </c>
      <c r="AJ18" s="206">
        <f>Assumptions!$E50</f>
        <v>1</v>
      </c>
      <c r="AK18" s="206">
        <f>Assumptions!$E50</f>
        <v>1</v>
      </c>
      <c r="AL18" s="206">
        <f>Assumptions!$F50</f>
        <v>1</v>
      </c>
      <c r="AM18" s="206">
        <f>Assumptions!$F50</f>
        <v>1</v>
      </c>
      <c r="AN18" s="206">
        <f>Assumptions!$F50</f>
        <v>1</v>
      </c>
      <c r="AO18" s="206">
        <f>Assumptions!$F50</f>
        <v>1</v>
      </c>
      <c r="AP18" s="206">
        <f>Assumptions!$F50</f>
        <v>1</v>
      </c>
      <c r="AQ18" s="206">
        <f>Assumptions!$F50</f>
        <v>1</v>
      </c>
      <c r="AR18" s="206">
        <f>Assumptions!$F50</f>
        <v>1</v>
      </c>
      <c r="AS18" s="206">
        <f>Assumptions!$F50</f>
        <v>1</v>
      </c>
      <c r="AT18" s="206">
        <f>Assumptions!$F50</f>
        <v>1</v>
      </c>
      <c r="AU18" s="206">
        <f>Assumptions!$F50</f>
        <v>1</v>
      </c>
      <c r="AV18" s="206">
        <f>Assumptions!$F50</f>
        <v>1</v>
      </c>
      <c r="AW18" s="206">
        <f>Assumptions!$F50</f>
        <v>1</v>
      </c>
      <c r="AX18" s="206">
        <f>Assumptions!$G50</f>
        <v>1</v>
      </c>
      <c r="AY18" s="206">
        <f>Assumptions!$G50</f>
        <v>1</v>
      </c>
      <c r="AZ18" s="206">
        <f>Assumptions!$G50</f>
        <v>1</v>
      </c>
      <c r="BA18" s="206">
        <f>Assumptions!$G50</f>
        <v>1</v>
      </c>
      <c r="BB18" s="206">
        <f>Assumptions!$G50</f>
        <v>1</v>
      </c>
      <c r="BC18" s="206">
        <f>Assumptions!$G50</f>
        <v>1</v>
      </c>
      <c r="BD18" s="206">
        <f>Assumptions!$G50</f>
        <v>1</v>
      </c>
      <c r="BE18" s="206">
        <f>Assumptions!$G50</f>
        <v>1</v>
      </c>
      <c r="BF18" s="206">
        <f>Assumptions!$G50</f>
        <v>1</v>
      </c>
      <c r="BG18" s="206">
        <f>Assumptions!$G50</f>
        <v>1</v>
      </c>
      <c r="BH18" s="206">
        <f>Assumptions!$G50</f>
        <v>1</v>
      </c>
      <c r="BI18" s="206">
        <f>Assumptions!$G50</f>
        <v>1</v>
      </c>
    </row>
    <row r="19" spans="1:61" ht="12" customHeight="1">
      <c r="A19" s="205" t="str">
        <f>Assumptions!A51</f>
        <v>Marketing Specialist</v>
      </c>
      <c r="B19" s="206">
        <f>Assumptions!$C51</f>
        <v>1</v>
      </c>
      <c r="C19" s="206">
        <f>Assumptions!$C51</f>
        <v>1</v>
      </c>
      <c r="D19" s="206">
        <f>Assumptions!$C51</f>
        <v>1</v>
      </c>
      <c r="E19" s="206">
        <f>Assumptions!$C51</f>
        <v>1</v>
      </c>
      <c r="F19" s="206">
        <f>Assumptions!$C51</f>
        <v>1</v>
      </c>
      <c r="G19" s="206">
        <f>Assumptions!$C51</f>
        <v>1</v>
      </c>
      <c r="H19" s="206">
        <f>Assumptions!$C51</f>
        <v>1</v>
      </c>
      <c r="I19" s="206">
        <f>Assumptions!$C51</f>
        <v>1</v>
      </c>
      <c r="J19" s="206">
        <f>Assumptions!$C51</f>
        <v>1</v>
      </c>
      <c r="K19" s="206">
        <f>Assumptions!$C51</f>
        <v>1</v>
      </c>
      <c r="L19" s="206">
        <f>Assumptions!$C51</f>
        <v>1</v>
      </c>
      <c r="M19" s="206">
        <f>Assumptions!$C51</f>
        <v>1</v>
      </c>
      <c r="N19" s="206">
        <f>Assumptions!$D51</f>
        <v>1</v>
      </c>
      <c r="O19" s="206">
        <f>Assumptions!$D51</f>
        <v>1</v>
      </c>
      <c r="P19" s="206">
        <f>Assumptions!$D51</f>
        <v>1</v>
      </c>
      <c r="Q19" s="206">
        <f>Assumptions!$D51</f>
        <v>1</v>
      </c>
      <c r="R19" s="206">
        <f>Assumptions!$D51</f>
        <v>1</v>
      </c>
      <c r="S19" s="206">
        <f>Assumptions!$D51</f>
        <v>1</v>
      </c>
      <c r="T19" s="206">
        <f>Assumptions!$D51</f>
        <v>1</v>
      </c>
      <c r="U19" s="206">
        <f>Assumptions!$D51</f>
        <v>1</v>
      </c>
      <c r="V19" s="206">
        <f>Assumptions!$D51</f>
        <v>1</v>
      </c>
      <c r="W19" s="206">
        <f>Assumptions!$D51</f>
        <v>1</v>
      </c>
      <c r="X19" s="206">
        <f>Assumptions!$D51</f>
        <v>1</v>
      </c>
      <c r="Y19" s="206">
        <f>Assumptions!$D51</f>
        <v>1</v>
      </c>
      <c r="Z19" s="206">
        <f>Assumptions!$E51</f>
        <v>1</v>
      </c>
      <c r="AA19" s="206">
        <f>Assumptions!$E51</f>
        <v>1</v>
      </c>
      <c r="AB19" s="206">
        <f>Assumptions!$E51</f>
        <v>1</v>
      </c>
      <c r="AC19" s="206">
        <f>Assumptions!$E51</f>
        <v>1</v>
      </c>
      <c r="AD19" s="206">
        <f>Assumptions!$E51</f>
        <v>1</v>
      </c>
      <c r="AE19" s="206">
        <f>Assumptions!$E51</f>
        <v>1</v>
      </c>
      <c r="AF19" s="206">
        <f>Assumptions!$E51</f>
        <v>1</v>
      </c>
      <c r="AG19" s="206">
        <f>Assumptions!$E51</f>
        <v>1</v>
      </c>
      <c r="AH19" s="206">
        <f>Assumptions!$E51</f>
        <v>1</v>
      </c>
      <c r="AI19" s="206">
        <f>Assumptions!$E51</f>
        <v>1</v>
      </c>
      <c r="AJ19" s="206">
        <f>Assumptions!$E51</f>
        <v>1</v>
      </c>
      <c r="AK19" s="206">
        <f>Assumptions!$E51</f>
        <v>1</v>
      </c>
      <c r="AL19" s="206">
        <f>Assumptions!$F51</f>
        <v>1</v>
      </c>
      <c r="AM19" s="206">
        <f>Assumptions!$F51</f>
        <v>1</v>
      </c>
      <c r="AN19" s="206">
        <f>Assumptions!$F51</f>
        <v>1</v>
      </c>
      <c r="AO19" s="206">
        <f>Assumptions!$F51</f>
        <v>1</v>
      </c>
      <c r="AP19" s="206">
        <f>Assumptions!$F51</f>
        <v>1</v>
      </c>
      <c r="AQ19" s="206">
        <f>Assumptions!$F51</f>
        <v>1</v>
      </c>
      <c r="AR19" s="206">
        <f>Assumptions!$F51</f>
        <v>1</v>
      </c>
      <c r="AS19" s="206">
        <f>Assumptions!$F51</f>
        <v>1</v>
      </c>
      <c r="AT19" s="206">
        <f>Assumptions!$F51</f>
        <v>1</v>
      </c>
      <c r="AU19" s="206">
        <f>Assumptions!$F51</f>
        <v>1</v>
      </c>
      <c r="AV19" s="206">
        <f>Assumptions!$F51</f>
        <v>1</v>
      </c>
      <c r="AW19" s="206">
        <f>Assumptions!$F51</f>
        <v>1</v>
      </c>
      <c r="AX19" s="206">
        <f>Assumptions!$G51</f>
        <v>1</v>
      </c>
      <c r="AY19" s="206">
        <f>Assumptions!$G51</f>
        <v>1</v>
      </c>
      <c r="AZ19" s="206">
        <f>Assumptions!$G51</f>
        <v>1</v>
      </c>
      <c r="BA19" s="206">
        <f>Assumptions!$G51</f>
        <v>1</v>
      </c>
      <c r="BB19" s="206">
        <f>Assumptions!$G51</f>
        <v>1</v>
      </c>
      <c r="BC19" s="206">
        <f>Assumptions!$G51</f>
        <v>1</v>
      </c>
      <c r="BD19" s="206">
        <f>Assumptions!$G51</f>
        <v>1</v>
      </c>
      <c r="BE19" s="206">
        <f>Assumptions!$G51</f>
        <v>1</v>
      </c>
      <c r="BF19" s="206">
        <f>Assumptions!$G51</f>
        <v>1</v>
      </c>
      <c r="BG19" s="206">
        <f>Assumptions!$G51</f>
        <v>1</v>
      </c>
      <c r="BH19" s="206">
        <f>Assumptions!$G51</f>
        <v>1</v>
      </c>
      <c r="BI19" s="206">
        <f>Assumptions!$G51</f>
        <v>1</v>
      </c>
    </row>
    <row r="20" spans="1:61" ht="16.5" customHeight="1">
      <c r="A20" s="205" t="str">
        <f>Assumptions!A52</f>
        <v>Admin Staff</v>
      </c>
      <c r="B20" s="206">
        <f>Assumptions!$C52</f>
        <v>2</v>
      </c>
      <c r="C20" s="206">
        <f>Assumptions!$C52</f>
        <v>2</v>
      </c>
      <c r="D20" s="206">
        <f>Assumptions!$C52</f>
        <v>2</v>
      </c>
      <c r="E20" s="206">
        <f>Assumptions!$C52</f>
        <v>2</v>
      </c>
      <c r="F20" s="206">
        <f>Assumptions!$C52</f>
        <v>2</v>
      </c>
      <c r="G20" s="206">
        <f>Assumptions!$C52</f>
        <v>2</v>
      </c>
      <c r="H20" s="206">
        <f>Assumptions!$C52</f>
        <v>2</v>
      </c>
      <c r="I20" s="206">
        <f>Assumptions!$C52</f>
        <v>2</v>
      </c>
      <c r="J20" s="206">
        <f>Assumptions!$C52</f>
        <v>2</v>
      </c>
      <c r="K20" s="206">
        <f>Assumptions!$C52</f>
        <v>2</v>
      </c>
      <c r="L20" s="206">
        <f>Assumptions!$C52</f>
        <v>2</v>
      </c>
      <c r="M20" s="206">
        <f>Assumptions!$C52</f>
        <v>2</v>
      </c>
      <c r="N20" s="206">
        <f>Assumptions!$D52</f>
        <v>2</v>
      </c>
      <c r="O20" s="206">
        <f>Assumptions!$D52</f>
        <v>2</v>
      </c>
      <c r="P20" s="206">
        <f>Assumptions!$D52</f>
        <v>2</v>
      </c>
      <c r="Q20" s="206">
        <f>Assumptions!$D52</f>
        <v>2</v>
      </c>
      <c r="R20" s="206">
        <f>Assumptions!$D52</f>
        <v>2</v>
      </c>
      <c r="S20" s="206">
        <f>Assumptions!$D52</f>
        <v>2</v>
      </c>
      <c r="T20" s="206">
        <f>Assumptions!$D52</f>
        <v>2</v>
      </c>
      <c r="U20" s="206">
        <f>Assumptions!$D52</f>
        <v>2</v>
      </c>
      <c r="V20" s="206">
        <f>Assumptions!$D52</f>
        <v>2</v>
      </c>
      <c r="W20" s="206">
        <f>Assumptions!$D52</f>
        <v>2</v>
      </c>
      <c r="X20" s="206">
        <f>Assumptions!$D52</f>
        <v>2</v>
      </c>
      <c r="Y20" s="206">
        <f>Assumptions!$D52</f>
        <v>2</v>
      </c>
      <c r="Z20" s="206">
        <f>Assumptions!$E52</f>
        <v>2</v>
      </c>
      <c r="AA20" s="206">
        <f>Assumptions!$E52</f>
        <v>2</v>
      </c>
      <c r="AB20" s="206">
        <f>Assumptions!$E52</f>
        <v>2</v>
      </c>
      <c r="AC20" s="206">
        <f>Assumptions!$E52</f>
        <v>2</v>
      </c>
      <c r="AD20" s="206">
        <f>Assumptions!$E52</f>
        <v>2</v>
      </c>
      <c r="AE20" s="206">
        <f>Assumptions!$E52</f>
        <v>2</v>
      </c>
      <c r="AF20" s="206">
        <f>Assumptions!$E52</f>
        <v>2</v>
      </c>
      <c r="AG20" s="206">
        <f>Assumptions!$E52</f>
        <v>2</v>
      </c>
      <c r="AH20" s="206">
        <f>Assumptions!$E52</f>
        <v>2</v>
      </c>
      <c r="AI20" s="206">
        <f>Assumptions!$E52</f>
        <v>2</v>
      </c>
      <c r="AJ20" s="206">
        <f>Assumptions!$E52</f>
        <v>2</v>
      </c>
      <c r="AK20" s="206">
        <f>Assumptions!$E52</f>
        <v>2</v>
      </c>
      <c r="AL20" s="206">
        <f>Assumptions!$F52</f>
        <v>2</v>
      </c>
      <c r="AM20" s="206">
        <f>Assumptions!$F52</f>
        <v>2</v>
      </c>
      <c r="AN20" s="206">
        <f>Assumptions!$F52</f>
        <v>2</v>
      </c>
      <c r="AO20" s="206">
        <f>Assumptions!$F52</f>
        <v>2</v>
      </c>
      <c r="AP20" s="206">
        <f>Assumptions!$F52</f>
        <v>2</v>
      </c>
      <c r="AQ20" s="206">
        <f>Assumptions!$F52</f>
        <v>2</v>
      </c>
      <c r="AR20" s="206">
        <f>Assumptions!$F52</f>
        <v>2</v>
      </c>
      <c r="AS20" s="206">
        <f>Assumptions!$F52</f>
        <v>2</v>
      </c>
      <c r="AT20" s="206">
        <f>Assumptions!$F52</f>
        <v>2</v>
      </c>
      <c r="AU20" s="206">
        <f>Assumptions!$F52</f>
        <v>2</v>
      </c>
      <c r="AV20" s="206">
        <f>Assumptions!$F52</f>
        <v>2</v>
      </c>
      <c r="AW20" s="206">
        <f>Assumptions!$F52</f>
        <v>2</v>
      </c>
      <c r="AX20" s="206">
        <f>Assumptions!$G52</f>
        <v>2</v>
      </c>
      <c r="AY20" s="206">
        <f>Assumptions!$G52</f>
        <v>2</v>
      </c>
      <c r="AZ20" s="206">
        <f>Assumptions!$G52</f>
        <v>2</v>
      </c>
      <c r="BA20" s="206">
        <f>Assumptions!$G52</f>
        <v>2</v>
      </c>
      <c r="BB20" s="206">
        <f>Assumptions!$G52</f>
        <v>2</v>
      </c>
      <c r="BC20" s="206">
        <f>Assumptions!$G52</f>
        <v>2</v>
      </c>
      <c r="BD20" s="206">
        <f>Assumptions!$G52</f>
        <v>2</v>
      </c>
      <c r="BE20" s="206">
        <f>Assumptions!$G52</f>
        <v>2</v>
      </c>
      <c r="BF20" s="206">
        <f>Assumptions!$G52</f>
        <v>2</v>
      </c>
      <c r="BG20" s="206">
        <f>Assumptions!$G52</f>
        <v>2</v>
      </c>
      <c r="BH20" s="206">
        <f>Assumptions!$G52</f>
        <v>2</v>
      </c>
      <c r="BI20" s="206">
        <f>Assumptions!$G52</f>
        <v>2</v>
      </c>
    </row>
    <row r="21" spans="1:61" ht="15.6">
      <c r="A21" s="205" t="str">
        <f>Assumptions!A53</f>
        <v>Manufacturing Technicians</v>
      </c>
      <c r="B21" s="206">
        <f>Assumptions!$C53</f>
        <v>3</v>
      </c>
      <c r="C21" s="206">
        <f>Assumptions!$C53</f>
        <v>3</v>
      </c>
      <c r="D21" s="206">
        <f>Assumptions!$C53</f>
        <v>3</v>
      </c>
      <c r="E21" s="206">
        <f>Assumptions!$C53</f>
        <v>3</v>
      </c>
      <c r="F21" s="206">
        <f>Assumptions!$C53</f>
        <v>3</v>
      </c>
      <c r="G21" s="206">
        <f>Assumptions!$C53</f>
        <v>3</v>
      </c>
      <c r="H21" s="206">
        <f>Assumptions!$C53</f>
        <v>3</v>
      </c>
      <c r="I21" s="206">
        <f>Assumptions!$C53</f>
        <v>3</v>
      </c>
      <c r="J21" s="206">
        <f>Assumptions!$C53</f>
        <v>3</v>
      </c>
      <c r="K21" s="206">
        <f>Assumptions!$C53</f>
        <v>3</v>
      </c>
      <c r="L21" s="206">
        <f>Assumptions!$C53</f>
        <v>3</v>
      </c>
      <c r="M21" s="206">
        <f>Assumptions!$C53</f>
        <v>3</v>
      </c>
      <c r="N21" s="206">
        <f>Assumptions!$D53</f>
        <v>5</v>
      </c>
      <c r="O21" s="206">
        <f>Assumptions!$D53</f>
        <v>5</v>
      </c>
      <c r="P21" s="206">
        <f>Assumptions!$D53</f>
        <v>5</v>
      </c>
      <c r="Q21" s="206">
        <f>Assumptions!$D53</f>
        <v>5</v>
      </c>
      <c r="R21" s="206">
        <f>Assumptions!$D53</f>
        <v>5</v>
      </c>
      <c r="S21" s="206">
        <f>Assumptions!$D53</f>
        <v>5</v>
      </c>
      <c r="T21" s="206">
        <f>Assumptions!$D53</f>
        <v>5</v>
      </c>
      <c r="U21" s="206">
        <f>Assumptions!$D53</f>
        <v>5</v>
      </c>
      <c r="V21" s="206">
        <f>Assumptions!$D53</f>
        <v>5</v>
      </c>
      <c r="W21" s="206">
        <f>Assumptions!$D53</f>
        <v>5</v>
      </c>
      <c r="X21" s="206">
        <f>Assumptions!$D53</f>
        <v>5</v>
      </c>
      <c r="Y21" s="206">
        <f>Assumptions!$D53</f>
        <v>5</v>
      </c>
      <c r="Z21" s="206">
        <f>Assumptions!$E53</f>
        <v>5</v>
      </c>
      <c r="AA21" s="206">
        <f>Assumptions!$E53</f>
        <v>5</v>
      </c>
      <c r="AB21" s="206">
        <f>Assumptions!$E53</f>
        <v>5</v>
      </c>
      <c r="AC21" s="206">
        <f>Assumptions!$E53</f>
        <v>5</v>
      </c>
      <c r="AD21" s="206">
        <f>Assumptions!$E53</f>
        <v>5</v>
      </c>
      <c r="AE21" s="206">
        <f>Assumptions!$E53</f>
        <v>5</v>
      </c>
      <c r="AF21" s="206">
        <f>Assumptions!$E53</f>
        <v>5</v>
      </c>
      <c r="AG21" s="206">
        <f>Assumptions!$E53</f>
        <v>5</v>
      </c>
      <c r="AH21" s="206">
        <f>Assumptions!$E53</f>
        <v>5</v>
      </c>
      <c r="AI21" s="206">
        <f>Assumptions!$E53</f>
        <v>5</v>
      </c>
      <c r="AJ21" s="206">
        <f>Assumptions!$E53</f>
        <v>5</v>
      </c>
      <c r="AK21" s="206">
        <f>Assumptions!$E53</f>
        <v>5</v>
      </c>
      <c r="AL21" s="206">
        <f>Assumptions!$F53</f>
        <v>6</v>
      </c>
      <c r="AM21" s="206">
        <f>Assumptions!$F53</f>
        <v>6</v>
      </c>
      <c r="AN21" s="206">
        <f>Assumptions!$F53</f>
        <v>6</v>
      </c>
      <c r="AO21" s="206">
        <f>Assumptions!$F53</f>
        <v>6</v>
      </c>
      <c r="AP21" s="206">
        <f>Assumptions!$F53</f>
        <v>6</v>
      </c>
      <c r="AQ21" s="206">
        <f>Assumptions!$F53</f>
        <v>6</v>
      </c>
      <c r="AR21" s="206">
        <f>Assumptions!$F53</f>
        <v>6</v>
      </c>
      <c r="AS21" s="206">
        <f>Assumptions!$F53</f>
        <v>6</v>
      </c>
      <c r="AT21" s="206">
        <f>Assumptions!$F53</f>
        <v>6</v>
      </c>
      <c r="AU21" s="206">
        <f>Assumptions!$F53</f>
        <v>6</v>
      </c>
      <c r="AV21" s="206">
        <f>Assumptions!$F53</f>
        <v>6</v>
      </c>
      <c r="AW21" s="206">
        <f>Assumptions!$F53</f>
        <v>6</v>
      </c>
      <c r="AX21" s="206">
        <f>Assumptions!$G53</f>
        <v>7</v>
      </c>
      <c r="AY21" s="206">
        <f>Assumptions!$G53</f>
        <v>7</v>
      </c>
      <c r="AZ21" s="206">
        <f>Assumptions!$G53</f>
        <v>7</v>
      </c>
      <c r="BA21" s="206">
        <f>Assumptions!$G53</f>
        <v>7</v>
      </c>
      <c r="BB21" s="206">
        <f>Assumptions!$G53</f>
        <v>7</v>
      </c>
      <c r="BC21" s="206">
        <f>Assumptions!$G53</f>
        <v>7</v>
      </c>
      <c r="BD21" s="206">
        <f>Assumptions!$G53</f>
        <v>7</v>
      </c>
      <c r="BE21" s="206">
        <f>Assumptions!$G53</f>
        <v>7</v>
      </c>
      <c r="BF21" s="206">
        <f>Assumptions!$G53</f>
        <v>7</v>
      </c>
      <c r="BG21" s="206">
        <f>Assumptions!$G53</f>
        <v>7</v>
      </c>
      <c r="BH21" s="206">
        <f>Assumptions!$G53</f>
        <v>7</v>
      </c>
      <c r="BI21" s="206">
        <f>Assumptions!$G53</f>
        <v>7</v>
      </c>
    </row>
    <row r="22" spans="1:61" ht="15.6">
      <c r="A22" s="207" t="s">
        <v>26</v>
      </c>
      <c r="B22" s="208">
        <f t="shared" ref="B22:AG22" si="0">SUM(B15:B21)</f>
        <v>10</v>
      </c>
      <c r="C22" s="208">
        <f t="shared" si="0"/>
        <v>10</v>
      </c>
      <c r="D22" s="208">
        <f t="shared" si="0"/>
        <v>10</v>
      </c>
      <c r="E22" s="208">
        <f t="shared" si="0"/>
        <v>10</v>
      </c>
      <c r="F22" s="208">
        <f t="shared" si="0"/>
        <v>10</v>
      </c>
      <c r="G22" s="208">
        <f t="shared" si="0"/>
        <v>10</v>
      </c>
      <c r="H22" s="208">
        <f t="shared" si="0"/>
        <v>10</v>
      </c>
      <c r="I22" s="208">
        <f t="shared" si="0"/>
        <v>10</v>
      </c>
      <c r="J22" s="208">
        <f t="shared" si="0"/>
        <v>10</v>
      </c>
      <c r="K22" s="208">
        <f t="shared" si="0"/>
        <v>10</v>
      </c>
      <c r="L22" s="208">
        <f t="shared" si="0"/>
        <v>10</v>
      </c>
      <c r="M22" s="208">
        <f t="shared" si="0"/>
        <v>10</v>
      </c>
      <c r="N22" s="208">
        <f t="shared" si="0"/>
        <v>12</v>
      </c>
      <c r="O22" s="208">
        <f t="shared" si="0"/>
        <v>12</v>
      </c>
      <c r="P22" s="208">
        <f t="shared" si="0"/>
        <v>12</v>
      </c>
      <c r="Q22" s="208">
        <f t="shared" si="0"/>
        <v>12</v>
      </c>
      <c r="R22" s="208">
        <f t="shared" si="0"/>
        <v>12</v>
      </c>
      <c r="S22" s="208">
        <f t="shared" si="0"/>
        <v>12</v>
      </c>
      <c r="T22" s="208">
        <f t="shared" si="0"/>
        <v>12</v>
      </c>
      <c r="U22" s="208">
        <f t="shared" si="0"/>
        <v>12</v>
      </c>
      <c r="V22" s="208">
        <f t="shared" si="0"/>
        <v>12</v>
      </c>
      <c r="W22" s="208">
        <f t="shared" si="0"/>
        <v>12</v>
      </c>
      <c r="X22" s="208">
        <f t="shared" si="0"/>
        <v>12</v>
      </c>
      <c r="Y22" s="208">
        <f t="shared" si="0"/>
        <v>12</v>
      </c>
      <c r="Z22" s="208">
        <f t="shared" si="0"/>
        <v>13</v>
      </c>
      <c r="AA22" s="208">
        <f t="shared" si="0"/>
        <v>13</v>
      </c>
      <c r="AB22" s="208">
        <f t="shared" si="0"/>
        <v>13</v>
      </c>
      <c r="AC22" s="208">
        <f t="shared" si="0"/>
        <v>13</v>
      </c>
      <c r="AD22" s="208">
        <f t="shared" si="0"/>
        <v>13</v>
      </c>
      <c r="AE22" s="208">
        <f t="shared" si="0"/>
        <v>13</v>
      </c>
      <c r="AF22" s="208">
        <f t="shared" si="0"/>
        <v>13</v>
      </c>
      <c r="AG22" s="208">
        <f t="shared" si="0"/>
        <v>13</v>
      </c>
      <c r="AH22" s="208">
        <f t="shared" ref="AH22:BI22" si="1">SUM(AH15:AH21)</f>
        <v>13</v>
      </c>
      <c r="AI22" s="208">
        <f t="shared" si="1"/>
        <v>13</v>
      </c>
      <c r="AJ22" s="208">
        <f t="shared" si="1"/>
        <v>13</v>
      </c>
      <c r="AK22" s="208">
        <f t="shared" si="1"/>
        <v>13</v>
      </c>
      <c r="AL22" s="208">
        <f t="shared" si="1"/>
        <v>14</v>
      </c>
      <c r="AM22" s="208">
        <f t="shared" si="1"/>
        <v>14</v>
      </c>
      <c r="AN22" s="208">
        <f t="shared" si="1"/>
        <v>14</v>
      </c>
      <c r="AO22" s="208">
        <f t="shared" si="1"/>
        <v>14</v>
      </c>
      <c r="AP22" s="208">
        <f t="shared" si="1"/>
        <v>14</v>
      </c>
      <c r="AQ22" s="208">
        <f t="shared" si="1"/>
        <v>14</v>
      </c>
      <c r="AR22" s="208">
        <f t="shared" si="1"/>
        <v>14</v>
      </c>
      <c r="AS22" s="208">
        <f t="shared" si="1"/>
        <v>14</v>
      </c>
      <c r="AT22" s="208">
        <f t="shared" si="1"/>
        <v>14</v>
      </c>
      <c r="AU22" s="208">
        <f t="shared" si="1"/>
        <v>14</v>
      </c>
      <c r="AV22" s="208">
        <f t="shared" si="1"/>
        <v>14</v>
      </c>
      <c r="AW22" s="208">
        <f t="shared" si="1"/>
        <v>14</v>
      </c>
      <c r="AX22" s="208">
        <f t="shared" si="1"/>
        <v>15</v>
      </c>
      <c r="AY22" s="208">
        <f t="shared" si="1"/>
        <v>15</v>
      </c>
      <c r="AZ22" s="208">
        <f t="shared" si="1"/>
        <v>15</v>
      </c>
      <c r="BA22" s="208">
        <f t="shared" si="1"/>
        <v>15</v>
      </c>
      <c r="BB22" s="208">
        <f t="shared" si="1"/>
        <v>15</v>
      </c>
      <c r="BC22" s="208">
        <f t="shared" si="1"/>
        <v>15</v>
      </c>
      <c r="BD22" s="208">
        <f t="shared" si="1"/>
        <v>15</v>
      </c>
      <c r="BE22" s="208">
        <f t="shared" si="1"/>
        <v>15</v>
      </c>
      <c r="BF22" s="208">
        <f t="shared" si="1"/>
        <v>15</v>
      </c>
      <c r="BG22" s="208">
        <f t="shared" si="1"/>
        <v>15</v>
      </c>
      <c r="BH22" s="208">
        <f t="shared" si="1"/>
        <v>15</v>
      </c>
      <c r="BI22" s="208">
        <f t="shared" si="1"/>
        <v>15</v>
      </c>
    </row>
    <row r="26" spans="1:61" ht="17.399999999999999">
      <c r="A26" s="102" t="s">
        <v>118</v>
      </c>
      <c r="B26" s="171" t="s">
        <v>15</v>
      </c>
      <c r="C26" s="171" t="s">
        <v>41</v>
      </c>
      <c r="D26" s="171" t="s">
        <v>42</v>
      </c>
      <c r="E26" s="171" t="s">
        <v>43</v>
      </c>
      <c r="F26" s="171" t="s">
        <v>44</v>
      </c>
      <c r="G26" s="171" t="s">
        <v>45</v>
      </c>
      <c r="H26" s="171" t="s">
        <v>46</v>
      </c>
      <c r="I26" s="171" t="s">
        <v>47</v>
      </c>
      <c r="J26" s="171" t="s">
        <v>48</v>
      </c>
      <c r="K26" s="171" t="s">
        <v>49</v>
      </c>
      <c r="L26" s="171" t="s">
        <v>50</v>
      </c>
      <c r="M26" s="171" t="s">
        <v>51</v>
      </c>
      <c r="N26" s="171" t="s">
        <v>20</v>
      </c>
      <c r="O26" s="171" t="s">
        <v>52</v>
      </c>
      <c r="P26" s="171" t="s">
        <v>53</v>
      </c>
      <c r="Q26" s="171" t="s">
        <v>54</v>
      </c>
      <c r="R26" s="171" t="s">
        <v>55</v>
      </c>
      <c r="S26" s="171" t="s">
        <v>56</v>
      </c>
      <c r="T26" s="171" t="s">
        <v>57</v>
      </c>
      <c r="U26" s="171" t="s">
        <v>58</v>
      </c>
      <c r="V26" s="171" t="s">
        <v>59</v>
      </c>
      <c r="W26" s="171" t="s">
        <v>60</v>
      </c>
      <c r="X26" s="171" t="s">
        <v>61</v>
      </c>
      <c r="Y26" s="171" t="s">
        <v>62</v>
      </c>
      <c r="Z26" s="171" t="s">
        <v>63</v>
      </c>
      <c r="AA26" s="171" t="s">
        <v>64</v>
      </c>
      <c r="AB26" s="171" t="s">
        <v>65</v>
      </c>
      <c r="AC26" s="171" t="s">
        <v>66</v>
      </c>
      <c r="AD26" s="171" t="s">
        <v>67</v>
      </c>
      <c r="AE26" s="171" t="s">
        <v>68</v>
      </c>
      <c r="AF26" s="171" t="s">
        <v>69</v>
      </c>
      <c r="AG26" s="171" t="s">
        <v>70</v>
      </c>
      <c r="AH26" s="171" t="s">
        <v>71</v>
      </c>
      <c r="AI26" s="171" t="s">
        <v>72</v>
      </c>
      <c r="AJ26" s="171" t="s">
        <v>73</v>
      </c>
      <c r="AK26" s="171" t="s">
        <v>74</v>
      </c>
      <c r="AL26" s="171" t="s">
        <v>75</v>
      </c>
      <c r="AM26" s="171" t="s">
        <v>76</v>
      </c>
      <c r="AN26" s="171" t="s">
        <v>77</v>
      </c>
      <c r="AO26" s="171" t="s">
        <v>78</v>
      </c>
      <c r="AP26" s="171" t="s">
        <v>79</v>
      </c>
      <c r="AQ26" s="171" t="s">
        <v>80</v>
      </c>
      <c r="AR26" s="171" t="s">
        <v>81</v>
      </c>
      <c r="AS26" s="171" t="s">
        <v>82</v>
      </c>
      <c r="AT26" s="171" t="s">
        <v>83</v>
      </c>
      <c r="AU26" s="171" t="s">
        <v>84</v>
      </c>
      <c r="AV26" s="171" t="s">
        <v>85</v>
      </c>
      <c r="AW26" s="171" t="s">
        <v>86</v>
      </c>
      <c r="AX26" s="171" t="s">
        <v>87</v>
      </c>
      <c r="AY26" s="171" t="s">
        <v>88</v>
      </c>
      <c r="AZ26" s="171" t="s">
        <v>89</v>
      </c>
      <c r="BA26" s="171" t="s">
        <v>90</v>
      </c>
      <c r="BB26" s="171" t="s">
        <v>91</v>
      </c>
      <c r="BC26" s="171" t="s">
        <v>92</v>
      </c>
      <c r="BD26" s="171" t="s">
        <v>93</v>
      </c>
      <c r="BE26" s="171" t="s">
        <v>94</v>
      </c>
      <c r="BF26" s="171" t="s">
        <v>95</v>
      </c>
      <c r="BG26" s="171" t="s">
        <v>96</v>
      </c>
      <c r="BH26" s="171" t="s">
        <v>97</v>
      </c>
      <c r="BI26" s="171" t="s">
        <v>98</v>
      </c>
    </row>
    <row r="27" spans="1:61" ht="15.6">
      <c r="A27" s="200" t="str">
        <f t="shared" ref="A27:A33" si="2">A15</f>
        <v>Owner / Manager</v>
      </c>
      <c r="B27" s="201">
        <f t="shared" ref="B27:M27" si="3">$B3*B15</f>
        <v>0</v>
      </c>
      <c r="C27" s="201">
        <f t="shared" si="3"/>
        <v>0</v>
      </c>
      <c r="D27" s="201">
        <f t="shared" si="3"/>
        <v>0</v>
      </c>
      <c r="E27" s="201">
        <f t="shared" si="3"/>
        <v>0</v>
      </c>
      <c r="F27" s="201">
        <f t="shared" si="3"/>
        <v>0</v>
      </c>
      <c r="G27" s="201">
        <f t="shared" si="3"/>
        <v>0</v>
      </c>
      <c r="H27" s="201">
        <f t="shared" si="3"/>
        <v>0</v>
      </c>
      <c r="I27" s="201">
        <f t="shared" si="3"/>
        <v>0</v>
      </c>
      <c r="J27" s="201">
        <f t="shared" si="3"/>
        <v>0</v>
      </c>
      <c r="K27" s="201">
        <f t="shared" si="3"/>
        <v>0</v>
      </c>
      <c r="L27" s="201">
        <f t="shared" si="3"/>
        <v>0</v>
      </c>
      <c r="M27" s="201">
        <f t="shared" si="3"/>
        <v>0</v>
      </c>
      <c r="N27" s="201">
        <f t="shared" ref="N27:Y27" si="4">$C3*N15</f>
        <v>0</v>
      </c>
      <c r="O27" s="201">
        <f t="shared" si="4"/>
        <v>0</v>
      </c>
      <c r="P27" s="201">
        <f t="shared" si="4"/>
        <v>0</v>
      </c>
      <c r="Q27" s="201">
        <f t="shared" si="4"/>
        <v>0</v>
      </c>
      <c r="R27" s="201">
        <f t="shared" si="4"/>
        <v>0</v>
      </c>
      <c r="S27" s="201">
        <f t="shared" si="4"/>
        <v>0</v>
      </c>
      <c r="T27" s="201">
        <f t="shared" si="4"/>
        <v>0</v>
      </c>
      <c r="U27" s="201">
        <f t="shared" si="4"/>
        <v>0</v>
      </c>
      <c r="V27" s="201">
        <f t="shared" si="4"/>
        <v>0</v>
      </c>
      <c r="W27" s="201">
        <f t="shared" si="4"/>
        <v>0</v>
      </c>
      <c r="X27" s="201">
        <f t="shared" si="4"/>
        <v>0</v>
      </c>
      <c r="Y27" s="201">
        <f t="shared" si="4"/>
        <v>0</v>
      </c>
      <c r="Z27" s="201">
        <f t="shared" ref="Z27:AK27" si="5">$D3*Z15</f>
        <v>0</v>
      </c>
      <c r="AA27" s="201">
        <f t="shared" si="5"/>
        <v>0</v>
      </c>
      <c r="AB27" s="201">
        <f t="shared" si="5"/>
        <v>0</v>
      </c>
      <c r="AC27" s="201">
        <f t="shared" si="5"/>
        <v>0</v>
      </c>
      <c r="AD27" s="201">
        <f t="shared" si="5"/>
        <v>0</v>
      </c>
      <c r="AE27" s="201">
        <f t="shared" si="5"/>
        <v>0</v>
      </c>
      <c r="AF27" s="201">
        <f t="shared" si="5"/>
        <v>0</v>
      </c>
      <c r="AG27" s="201">
        <f t="shared" si="5"/>
        <v>0</v>
      </c>
      <c r="AH27" s="201">
        <f t="shared" si="5"/>
        <v>0</v>
      </c>
      <c r="AI27" s="201">
        <f t="shared" si="5"/>
        <v>0</v>
      </c>
      <c r="AJ27" s="201">
        <f t="shared" si="5"/>
        <v>0</v>
      </c>
      <c r="AK27" s="201">
        <f t="shared" si="5"/>
        <v>0</v>
      </c>
      <c r="AL27" s="201">
        <f t="shared" ref="AL27:AW27" si="6">$E3*AL15</f>
        <v>0</v>
      </c>
      <c r="AM27" s="201">
        <f t="shared" si="6"/>
        <v>0</v>
      </c>
      <c r="AN27" s="201">
        <f t="shared" si="6"/>
        <v>0</v>
      </c>
      <c r="AO27" s="201">
        <f t="shared" si="6"/>
        <v>0</v>
      </c>
      <c r="AP27" s="201">
        <f t="shared" si="6"/>
        <v>0</v>
      </c>
      <c r="AQ27" s="201">
        <f t="shared" si="6"/>
        <v>0</v>
      </c>
      <c r="AR27" s="201">
        <f t="shared" si="6"/>
        <v>0</v>
      </c>
      <c r="AS27" s="201">
        <f t="shared" si="6"/>
        <v>0</v>
      </c>
      <c r="AT27" s="201">
        <f t="shared" si="6"/>
        <v>0</v>
      </c>
      <c r="AU27" s="201">
        <f t="shared" si="6"/>
        <v>0</v>
      </c>
      <c r="AV27" s="201">
        <f t="shared" si="6"/>
        <v>0</v>
      </c>
      <c r="AW27" s="201">
        <f t="shared" si="6"/>
        <v>0</v>
      </c>
      <c r="AX27" s="201">
        <f t="shared" ref="AX27:BI27" si="7">$F3*AX15</f>
        <v>0</v>
      </c>
      <c r="AY27" s="201">
        <f t="shared" si="7"/>
        <v>0</v>
      </c>
      <c r="AZ27" s="201">
        <f t="shared" si="7"/>
        <v>0</v>
      </c>
      <c r="BA27" s="201">
        <f t="shared" si="7"/>
        <v>0</v>
      </c>
      <c r="BB27" s="201">
        <f t="shared" si="7"/>
        <v>0</v>
      </c>
      <c r="BC27" s="201">
        <f t="shared" si="7"/>
        <v>0</v>
      </c>
      <c r="BD27" s="201">
        <f t="shared" si="7"/>
        <v>0</v>
      </c>
      <c r="BE27" s="201">
        <f t="shared" si="7"/>
        <v>0</v>
      </c>
      <c r="BF27" s="201">
        <f t="shared" si="7"/>
        <v>0</v>
      </c>
      <c r="BG27" s="201">
        <f t="shared" si="7"/>
        <v>0</v>
      </c>
      <c r="BH27" s="201">
        <f t="shared" si="7"/>
        <v>0</v>
      </c>
      <c r="BI27" s="201">
        <f t="shared" si="7"/>
        <v>0</v>
      </c>
    </row>
    <row r="28" spans="1:61" ht="15.6">
      <c r="A28" s="200" t="str">
        <f t="shared" si="2"/>
        <v>CTO</v>
      </c>
      <c r="B28" s="201">
        <f t="shared" ref="B28:M28" si="8">$B4*B16</f>
        <v>28874.416666666668</v>
      </c>
      <c r="C28" s="201">
        <f t="shared" si="8"/>
        <v>28874.416666666668</v>
      </c>
      <c r="D28" s="201">
        <f t="shared" si="8"/>
        <v>28874.416666666668</v>
      </c>
      <c r="E28" s="201">
        <f t="shared" si="8"/>
        <v>28874.416666666668</v>
      </c>
      <c r="F28" s="201">
        <f t="shared" si="8"/>
        <v>28874.416666666668</v>
      </c>
      <c r="G28" s="201">
        <f t="shared" si="8"/>
        <v>28874.416666666668</v>
      </c>
      <c r="H28" s="201">
        <f t="shared" si="8"/>
        <v>28874.416666666668</v>
      </c>
      <c r="I28" s="201">
        <f t="shared" si="8"/>
        <v>28874.416666666668</v>
      </c>
      <c r="J28" s="201">
        <f t="shared" si="8"/>
        <v>28874.416666666668</v>
      </c>
      <c r="K28" s="201">
        <f t="shared" si="8"/>
        <v>28874.416666666668</v>
      </c>
      <c r="L28" s="201">
        <f t="shared" si="8"/>
        <v>28874.416666666668</v>
      </c>
      <c r="M28" s="201">
        <f t="shared" si="8"/>
        <v>28874.416666666668</v>
      </c>
      <c r="N28" s="201">
        <f t="shared" ref="N28:N33" si="9">$C4*N16</f>
        <v>31761.858333333337</v>
      </c>
      <c r="O28" s="201">
        <f t="shared" ref="O28:Y28" si="10">$B4*O16</f>
        <v>28874.416666666668</v>
      </c>
      <c r="P28" s="201">
        <f t="shared" si="10"/>
        <v>28874.416666666668</v>
      </c>
      <c r="Q28" s="201">
        <f t="shared" si="10"/>
        <v>28874.416666666668</v>
      </c>
      <c r="R28" s="201">
        <f t="shared" si="10"/>
        <v>28874.416666666668</v>
      </c>
      <c r="S28" s="201">
        <f t="shared" si="10"/>
        <v>28874.416666666668</v>
      </c>
      <c r="T28" s="201">
        <f t="shared" si="10"/>
        <v>28874.416666666668</v>
      </c>
      <c r="U28" s="201">
        <f t="shared" si="10"/>
        <v>28874.416666666668</v>
      </c>
      <c r="V28" s="201">
        <f t="shared" si="10"/>
        <v>28874.416666666668</v>
      </c>
      <c r="W28" s="201">
        <f t="shared" si="10"/>
        <v>28874.416666666668</v>
      </c>
      <c r="X28" s="201">
        <f t="shared" si="10"/>
        <v>28874.416666666668</v>
      </c>
      <c r="Y28" s="201">
        <f t="shared" si="10"/>
        <v>28874.416666666668</v>
      </c>
      <c r="Z28" s="201">
        <f t="shared" ref="Z28:Z33" si="11">$D4*Z16</f>
        <v>34938.044166666674</v>
      </c>
      <c r="AA28" s="201">
        <f t="shared" ref="AA28:AK28" si="12">$B4*AA16</f>
        <v>28874.416666666668</v>
      </c>
      <c r="AB28" s="201">
        <f t="shared" si="12"/>
        <v>28874.416666666668</v>
      </c>
      <c r="AC28" s="201">
        <f t="shared" si="12"/>
        <v>28874.416666666668</v>
      </c>
      <c r="AD28" s="201">
        <f t="shared" si="12"/>
        <v>28874.416666666668</v>
      </c>
      <c r="AE28" s="201">
        <f t="shared" si="12"/>
        <v>28874.416666666668</v>
      </c>
      <c r="AF28" s="201">
        <f t="shared" si="12"/>
        <v>28874.416666666668</v>
      </c>
      <c r="AG28" s="201">
        <f t="shared" si="12"/>
        <v>28874.416666666668</v>
      </c>
      <c r="AH28" s="201">
        <f t="shared" si="12"/>
        <v>28874.416666666668</v>
      </c>
      <c r="AI28" s="201">
        <f t="shared" si="12"/>
        <v>28874.416666666668</v>
      </c>
      <c r="AJ28" s="201">
        <f t="shared" si="12"/>
        <v>28874.416666666668</v>
      </c>
      <c r="AK28" s="201">
        <f t="shared" si="12"/>
        <v>28874.416666666668</v>
      </c>
      <c r="AL28" s="201">
        <f t="shared" ref="AL28:AL33" si="13">$E4*AL16</f>
        <v>38431.848583333347</v>
      </c>
      <c r="AM28" s="201">
        <f t="shared" ref="AM28:AW28" si="14">$B4*AM16</f>
        <v>28874.416666666668</v>
      </c>
      <c r="AN28" s="201">
        <f t="shared" si="14"/>
        <v>28874.416666666668</v>
      </c>
      <c r="AO28" s="201">
        <f t="shared" si="14"/>
        <v>28874.416666666668</v>
      </c>
      <c r="AP28" s="201">
        <f t="shared" si="14"/>
        <v>28874.416666666668</v>
      </c>
      <c r="AQ28" s="201">
        <f t="shared" si="14"/>
        <v>28874.416666666668</v>
      </c>
      <c r="AR28" s="201">
        <f t="shared" si="14"/>
        <v>28874.416666666668</v>
      </c>
      <c r="AS28" s="201">
        <f t="shared" si="14"/>
        <v>28874.416666666668</v>
      </c>
      <c r="AT28" s="201">
        <f t="shared" si="14"/>
        <v>28874.416666666668</v>
      </c>
      <c r="AU28" s="201">
        <f t="shared" si="14"/>
        <v>28874.416666666668</v>
      </c>
      <c r="AV28" s="201">
        <f t="shared" si="14"/>
        <v>28874.416666666668</v>
      </c>
      <c r="AW28" s="201">
        <f t="shared" si="14"/>
        <v>28874.416666666668</v>
      </c>
      <c r="AX28" s="201">
        <f t="shared" ref="AX28:AX33" si="15">$F4*AX16</f>
        <v>42275.033441666688</v>
      </c>
      <c r="AY28" s="201">
        <f t="shared" ref="AY28:BI28" si="16">$B4*AY16</f>
        <v>28874.416666666668</v>
      </c>
      <c r="AZ28" s="201">
        <f t="shared" si="16"/>
        <v>28874.416666666668</v>
      </c>
      <c r="BA28" s="201">
        <f t="shared" si="16"/>
        <v>28874.416666666668</v>
      </c>
      <c r="BB28" s="201">
        <f t="shared" si="16"/>
        <v>28874.416666666668</v>
      </c>
      <c r="BC28" s="201">
        <f t="shared" si="16"/>
        <v>28874.416666666668</v>
      </c>
      <c r="BD28" s="201">
        <f t="shared" si="16"/>
        <v>28874.416666666668</v>
      </c>
      <c r="BE28" s="201">
        <f t="shared" si="16"/>
        <v>28874.416666666668</v>
      </c>
      <c r="BF28" s="201">
        <f t="shared" si="16"/>
        <v>28874.416666666668</v>
      </c>
      <c r="BG28" s="201">
        <f t="shared" si="16"/>
        <v>28874.416666666668</v>
      </c>
      <c r="BH28" s="201">
        <f t="shared" si="16"/>
        <v>28874.416666666668</v>
      </c>
      <c r="BI28" s="201">
        <f t="shared" si="16"/>
        <v>28874.416666666668</v>
      </c>
    </row>
    <row r="29" spans="1:61" ht="15.6">
      <c r="A29" s="200" t="str">
        <f t="shared" si="2"/>
        <v>AI &amp; Software Engineers</v>
      </c>
      <c r="B29" s="201">
        <f t="shared" ref="B29:M29" si="17">$B5*B17</f>
        <v>13483.666666666666</v>
      </c>
      <c r="C29" s="201">
        <f t="shared" si="17"/>
        <v>13483.666666666666</v>
      </c>
      <c r="D29" s="201">
        <f t="shared" si="17"/>
        <v>13483.666666666666</v>
      </c>
      <c r="E29" s="201">
        <f t="shared" si="17"/>
        <v>13483.666666666666</v>
      </c>
      <c r="F29" s="201">
        <f t="shared" si="17"/>
        <v>13483.666666666666</v>
      </c>
      <c r="G29" s="201">
        <f t="shared" si="17"/>
        <v>13483.666666666666</v>
      </c>
      <c r="H29" s="201">
        <f t="shared" si="17"/>
        <v>13483.666666666666</v>
      </c>
      <c r="I29" s="201">
        <f t="shared" si="17"/>
        <v>13483.666666666666</v>
      </c>
      <c r="J29" s="201">
        <f t="shared" si="17"/>
        <v>13483.666666666666</v>
      </c>
      <c r="K29" s="201">
        <f t="shared" si="17"/>
        <v>13483.666666666666</v>
      </c>
      <c r="L29" s="201">
        <f t="shared" si="17"/>
        <v>13483.666666666666</v>
      </c>
      <c r="M29" s="201">
        <f t="shared" si="17"/>
        <v>13483.666666666666</v>
      </c>
      <c r="N29" s="201">
        <f t="shared" si="9"/>
        <v>14832.033333333335</v>
      </c>
      <c r="O29" s="201">
        <f t="shared" ref="O29:Y29" si="18">$B5*O17</f>
        <v>13483.666666666666</v>
      </c>
      <c r="P29" s="201">
        <f t="shared" si="18"/>
        <v>13483.666666666666</v>
      </c>
      <c r="Q29" s="201">
        <f t="shared" si="18"/>
        <v>13483.666666666666</v>
      </c>
      <c r="R29" s="201">
        <f t="shared" si="18"/>
        <v>13483.666666666666</v>
      </c>
      <c r="S29" s="201">
        <f t="shared" si="18"/>
        <v>13483.666666666666</v>
      </c>
      <c r="T29" s="201">
        <f t="shared" si="18"/>
        <v>13483.666666666666</v>
      </c>
      <c r="U29" s="201">
        <f t="shared" si="18"/>
        <v>13483.666666666666</v>
      </c>
      <c r="V29" s="201">
        <f t="shared" si="18"/>
        <v>13483.666666666666</v>
      </c>
      <c r="W29" s="201">
        <f t="shared" si="18"/>
        <v>13483.666666666666</v>
      </c>
      <c r="X29" s="201">
        <f t="shared" si="18"/>
        <v>13483.666666666666</v>
      </c>
      <c r="Y29" s="201">
        <f t="shared" si="18"/>
        <v>13483.666666666666</v>
      </c>
      <c r="Z29" s="201">
        <f t="shared" si="11"/>
        <v>32630.473333333339</v>
      </c>
      <c r="AA29" s="201">
        <f t="shared" ref="AA29:AK29" si="19">$B5*AA17</f>
        <v>26967.333333333332</v>
      </c>
      <c r="AB29" s="201">
        <f t="shared" si="19"/>
        <v>26967.333333333332</v>
      </c>
      <c r="AC29" s="201">
        <f t="shared" si="19"/>
        <v>26967.333333333332</v>
      </c>
      <c r="AD29" s="201">
        <f t="shared" si="19"/>
        <v>26967.333333333332</v>
      </c>
      <c r="AE29" s="201">
        <f t="shared" si="19"/>
        <v>26967.333333333332</v>
      </c>
      <c r="AF29" s="201">
        <f t="shared" si="19"/>
        <v>26967.333333333332</v>
      </c>
      <c r="AG29" s="201">
        <f t="shared" si="19"/>
        <v>26967.333333333332</v>
      </c>
      <c r="AH29" s="201">
        <f t="shared" si="19"/>
        <v>26967.333333333332</v>
      </c>
      <c r="AI29" s="201">
        <f t="shared" si="19"/>
        <v>26967.333333333332</v>
      </c>
      <c r="AJ29" s="201">
        <f t="shared" si="19"/>
        <v>26967.333333333332</v>
      </c>
      <c r="AK29" s="201">
        <f t="shared" si="19"/>
        <v>26967.333333333332</v>
      </c>
      <c r="AL29" s="201">
        <f t="shared" si="13"/>
        <v>35893.520666666678</v>
      </c>
      <c r="AM29" s="201">
        <f t="shared" ref="AM29:AW29" si="20">$B5*AM17</f>
        <v>26967.333333333332</v>
      </c>
      <c r="AN29" s="201">
        <f t="shared" si="20"/>
        <v>26967.333333333332</v>
      </c>
      <c r="AO29" s="201">
        <f t="shared" si="20"/>
        <v>26967.333333333332</v>
      </c>
      <c r="AP29" s="201">
        <f t="shared" si="20"/>
        <v>26967.333333333332</v>
      </c>
      <c r="AQ29" s="201">
        <f t="shared" si="20"/>
        <v>26967.333333333332</v>
      </c>
      <c r="AR29" s="201">
        <f t="shared" si="20"/>
        <v>26967.333333333332</v>
      </c>
      <c r="AS29" s="201">
        <f t="shared" si="20"/>
        <v>26967.333333333332</v>
      </c>
      <c r="AT29" s="201">
        <f t="shared" si="20"/>
        <v>26967.333333333332</v>
      </c>
      <c r="AU29" s="201">
        <f t="shared" si="20"/>
        <v>26967.333333333332</v>
      </c>
      <c r="AV29" s="201">
        <f t="shared" si="20"/>
        <v>26967.333333333332</v>
      </c>
      <c r="AW29" s="201">
        <f t="shared" si="20"/>
        <v>26967.333333333332</v>
      </c>
      <c r="AX29" s="201">
        <f t="shared" si="15"/>
        <v>39482.872733333352</v>
      </c>
      <c r="AY29" s="201">
        <f t="shared" ref="AY29:BI29" si="21">$B5*AY17</f>
        <v>26967.333333333332</v>
      </c>
      <c r="AZ29" s="201">
        <f t="shared" si="21"/>
        <v>26967.333333333332</v>
      </c>
      <c r="BA29" s="201">
        <f t="shared" si="21"/>
        <v>26967.333333333332</v>
      </c>
      <c r="BB29" s="201">
        <f t="shared" si="21"/>
        <v>26967.333333333332</v>
      </c>
      <c r="BC29" s="201">
        <f t="shared" si="21"/>
        <v>26967.333333333332</v>
      </c>
      <c r="BD29" s="201">
        <f t="shared" si="21"/>
        <v>26967.333333333332</v>
      </c>
      <c r="BE29" s="201">
        <f t="shared" si="21"/>
        <v>26967.333333333332</v>
      </c>
      <c r="BF29" s="201">
        <f t="shared" si="21"/>
        <v>26967.333333333332</v>
      </c>
      <c r="BG29" s="201">
        <f t="shared" si="21"/>
        <v>26967.333333333332</v>
      </c>
      <c r="BH29" s="201">
        <f t="shared" si="21"/>
        <v>26967.333333333332</v>
      </c>
      <c r="BI29" s="201">
        <f t="shared" si="21"/>
        <v>26967.333333333332</v>
      </c>
    </row>
    <row r="30" spans="1:61" ht="15.6">
      <c r="A30" s="200" t="str">
        <f t="shared" si="2"/>
        <v>Compliance &amp; Security Lead</v>
      </c>
      <c r="B30" s="201">
        <f t="shared" ref="B30:M30" si="22">$B6*B18</f>
        <v>9215.5</v>
      </c>
      <c r="C30" s="201">
        <f t="shared" si="22"/>
        <v>9215.5</v>
      </c>
      <c r="D30" s="201">
        <f t="shared" si="22"/>
        <v>9215.5</v>
      </c>
      <c r="E30" s="201">
        <f t="shared" si="22"/>
        <v>9215.5</v>
      </c>
      <c r="F30" s="201">
        <f t="shared" si="22"/>
        <v>9215.5</v>
      </c>
      <c r="G30" s="201">
        <f t="shared" si="22"/>
        <v>9215.5</v>
      </c>
      <c r="H30" s="201">
        <f t="shared" si="22"/>
        <v>9215.5</v>
      </c>
      <c r="I30" s="201">
        <f t="shared" si="22"/>
        <v>9215.5</v>
      </c>
      <c r="J30" s="201">
        <f t="shared" si="22"/>
        <v>9215.5</v>
      </c>
      <c r="K30" s="201">
        <f t="shared" si="22"/>
        <v>9215.5</v>
      </c>
      <c r="L30" s="201">
        <f t="shared" si="22"/>
        <v>9215.5</v>
      </c>
      <c r="M30" s="201">
        <f t="shared" si="22"/>
        <v>9215.5</v>
      </c>
      <c r="N30" s="201">
        <f t="shared" si="9"/>
        <v>10137.050000000001</v>
      </c>
      <c r="O30" s="201">
        <f t="shared" ref="O30:Y30" si="23">$B6*O18</f>
        <v>9215.5</v>
      </c>
      <c r="P30" s="201">
        <f t="shared" si="23"/>
        <v>9215.5</v>
      </c>
      <c r="Q30" s="201">
        <f t="shared" si="23"/>
        <v>9215.5</v>
      </c>
      <c r="R30" s="201">
        <f t="shared" si="23"/>
        <v>9215.5</v>
      </c>
      <c r="S30" s="201">
        <f t="shared" si="23"/>
        <v>9215.5</v>
      </c>
      <c r="T30" s="201">
        <f t="shared" si="23"/>
        <v>9215.5</v>
      </c>
      <c r="U30" s="201">
        <f t="shared" si="23"/>
        <v>9215.5</v>
      </c>
      <c r="V30" s="201">
        <f t="shared" si="23"/>
        <v>9215.5</v>
      </c>
      <c r="W30" s="201">
        <f t="shared" si="23"/>
        <v>9215.5</v>
      </c>
      <c r="X30" s="201">
        <f t="shared" si="23"/>
        <v>9215.5</v>
      </c>
      <c r="Y30" s="201">
        <f t="shared" si="23"/>
        <v>9215.5</v>
      </c>
      <c r="Z30" s="201">
        <f t="shared" si="11"/>
        <v>11150.755000000003</v>
      </c>
      <c r="AA30" s="201">
        <f t="shared" ref="AA30:AK30" si="24">$B6*AA18</f>
        <v>9215.5</v>
      </c>
      <c r="AB30" s="201">
        <f t="shared" si="24"/>
        <v>9215.5</v>
      </c>
      <c r="AC30" s="201">
        <f t="shared" si="24"/>
        <v>9215.5</v>
      </c>
      <c r="AD30" s="201">
        <f t="shared" si="24"/>
        <v>9215.5</v>
      </c>
      <c r="AE30" s="201">
        <f t="shared" si="24"/>
        <v>9215.5</v>
      </c>
      <c r="AF30" s="201">
        <f t="shared" si="24"/>
        <v>9215.5</v>
      </c>
      <c r="AG30" s="201">
        <f t="shared" si="24"/>
        <v>9215.5</v>
      </c>
      <c r="AH30" s="201">
        <f t="shared" si="24"/>
        <v>9215.5</v>
      </c>
      <c r="AI30" s="201">
        <f t="shared" si="24"/>
        <v>9215.5</v>
      </c>
      <c r="AJ30" s="201">
        <f t="shared" si="24"/>
        <v>9215.5</v>
      </c>
      <c r="AK30" s="201">
        <f t="shared" si="24"/>
        <v>9215.5</v>
      </c>
      <c r="AL30" s="201">
        <f t="shared" si="13"/>
        <v>12265.830500000004</v>
      </c>
      <c r="AM30" s="201">
        <f t="shared" ref="AM30:AW30" si="25">$B6*AM18</f>
        <v>9215.5</v>
      </c>
      <c r="AN30" s="201">
        <f t="shared" si="25"/>
        <v>9215.5</v>
      </c>
      <c r="AO30" s="201">
        <f t="shared" si="25"/>
        <v>9215.5</v>
      </c>
      <c r="AP30" s="201">
        <f t="shared" si="25"/>
        <v>9215.5</v>
      </c>
      <c r="AQ30" s="201">
        <f t="shared" si="25"/>
        <v>9215.5</v>
      </c>
      <c r="AR30" s="201">
        <f t="shared" si="25"/>
        <v>9215.5</v>
      </c>
      <c r="AS30" s="201">
        <f t="shared" si="25"/>
        <v>9215.5</v>
      </c>
      <c r="AT30" s="201">
        <f t="shared" si="25"/>
        <v>9215.5</v>
      </c>
      <c r="AU30" s="201">
        <f t="shared" si="25"/>
        <v>9215.5</v>
      </c>
      <c r="AV30" s="201">
        <f t="shared" si="25"/>
        <v>9215.5</v>
      </c>
      <c r="AW30" s="201">
        <f t="shared" si="25"/>
        <v>9215.5</v>
      </c>
      <c r="AX30" s="201">
        <f t="shared" si="15"/>
        <v>13492.413550000005</v>
      </c>
      <c r="AY30" s="201">
        <f t="shared" ref="AY30:BI30" si="26">$B6*AY18</f>
        <v>9215.5</v>
      </c>
      <c r="AZ30" s="201">
        <f t="shared" si="26"/>
        <v>9215.5</v>
      </c>
      <c r="BA30" s="201">
        <f t="shared" si="26"/>
        <v>9215.5</v>
      </c>
      <c r="BB30" s="201">
        <f t="shared" si="26"/>
        <v>9215.5</v>
      </c>
      <c r="BC30" s="201">
        <f t="shared" si="26"/>
        <v>9215.5</v>
      </c>
      <c r="BD30" s="201">
        <f t="shared" si="26"/>
        <v>9215.5</v>
      </c>
      <c r="BE30" s="201">
        <f t="shared" si="26"/>
        <v>9215.5</v>
      </c>
      <c r="BF30" s="201">
        <f t="shared" si="26"/>
        <v>9215.5</v>
      </c>
      <c r="BG30" s="201">
        <f t="shared" si="26"/>
        <v>9215.5</v>
      </c>
      <c r="BH30" s="201">
        <f t="shared" si="26"/>
        <v>9215.5</v>
      </c>
      <c r="BI30" s="201">
        <f t="shared" si="26"/>
        <v>9215.5</v>
      </c>
    </row>
    <row r="31" spans="1:61" ht="15.75" customHeight="1">
      <c r="A31" s="200" t="str">
        <f t="shared" si="2"/>
        <v>Marketing Specialist</v>
      </c>
      <c r="B31" s="201">
        <f t="shared" ref="B31:M31" si="27">$B7*B19</f>
        <v>7536.333333333333</v>
      </c>
      <c r="C31" s="201">
        <f t="shared" si="27"/>
        <v>7536.333333333333</v>
      </c>
      <c r="D31" s="201">
        <f t="shared" si="27"/>
        <v>7536.333333333333</v>
      </c>
      <c r="E31" s="201">
        <f t="shared" si="27"/>
        <v>7536.333333333333</v>
      </c>
      <c r="F31" s="201">
        <f t="shared" si="27"/>
        <v>7536.333333333333</v>
      </c>
      <c r="G31" s="201">
        <f t="shared" si="27"/>
        <v>7536.333333333333</v>
      </c>
      <c r="H31" s="201">
        <f t="shared" si="27"/>
        <v>7536.333333333333</v>
      </c>
      <c r="I31" s="201">
        <f t="shared" si="27"/>
        <v>7536.333333333333</v>
      </c>
      <c r="J31" s="201">
        <f t="shared" si="27"/>
        <v>7536.333333333333</v>
      </c>
      <c r="K31" s="201">
        <f t="shared" si="27"/>
        <v>7536.333333333333</v>
      </c>
      <c r="L31" s="201">
        <f t="shared" si="27"/>
        <v>7536.333333333333</v>
      </c>
      <c r="M31" s="201">
        <f t="shared" si="27"/>
        <v>7536.333333333333</v>
      </c>
      <c r="N31" s="201">
        <f t="shared" si="9"/>
        <v>8289.9666666666672</v>
      </c>
      <c r="O31" s="201">
        <f t="shared" ref="O31:Y31" si="28">$B7*O19</f>
        <v>7536.333333333333</v>
      </c>
      <c r="P31" s="201">
        <f t="shared" si="28"/>
        <v>7536.333333333333</v>
      </c>
      <c r="Q31" s="201">
        <f t="shared" si="28"/>
        <v>7536.333333333333</v>
      </c>
      <c r="R31" s="201">
        <f t="shared" si="28"/>
        <v>7536.333333333333</v>
      </c>
      <c r="S31" s="201">
        <f t="shared" si="28"/>
        <v>7536.333333333333</v>
      </c>
      <c r="T31" s="201">
        <f t="shared" si="28"/>
        <v>7536.333333333333</v>
      </c>
      <c r="U31" s="201">
        <f t="shared" si="28"/>
        <v>7536.333333333333</v>
      </c>
      <c r="V31" s="201">
        <f t="shared" si="28"/>
        <v>7536.333333333333</v>
      </c>
      <c r="W31" s="201">
        <f t="shared" si="28"/>
        <v>7536.333333333333</v>
      </c>
      <c r="X31" s="201">
        <f t="shared" si="28"/>
        <v>7536.333333333333</v>
      </c>
      <c r="Y31" s="201">
        <f t="shared" si="28"/>
        <v>7536.333333333333</v>
      </c>
      <c r="Z31" s="201">
        <f t="shared" si="11"/>
        <v>9118.963333333335</v>
      </c>
      <c r="AA31" s="201">
        <f t="shared" ref="AA31:AK31" si="29">$B7*AA19</f>
        <v>7536.333333333333</v>
      </c>
      <c r="AB31" s="201">
        <f t="shared" si="29"/>
        <v>7536.333333333333</v>
      </c>
      <c r="AC31" s="201">
        <f t="shared" si="29"/>
        <v>7536.333333333333</v>
      </c>
      <c r="AD31" s="201">
        <f t="shared" si="29"/>
        <v>7536.333333333333</v>
      </c>
      <c r="AE31" s="201">
        <f t="shared" si="29"/>
        <v>7536.333333333333</v>
      </c>
      <c r="AF31" s="201">
        <f t="shared" si="29"/>
        <v>7536.333333333333</v>
      </c>
      <c r="AG31" s="201">
        <f t="shared" si="29"/>
        <v>7536.333333333333</v>
      </c>
      <c r="AH31" s="201">
        <f t="shared" si="29"/>
        <v>7536.333333333333</v>
      </c>
      <c r="AI31" s="201">
        <f t="shared" si="29"/>
        <v>7536.333333333333</v>
      </c>
      <c r="AJ31" s="201">
        <f t="shared" si="29"/>
        <v>7536.333333333333</v>
      </c>
      <c r="AK31" s="201">
        <f t="shared" si="29"/>
        <v>7536.333333333333</v>
      </c>
      <c r="AL31" s="201">
        <f t="shared" si="13"/>
        <v>10030.859666666669</v>
      </c>
      <c r="AM31" s="201">
        <f t="shared" ref="AM31:AW31" si="30">$B7*AM19</f>
        <v>7536.333333333333</v>
      </c>
      <c r="AN31" s="201">
        <f t="shared" si="30"/>
        <v>7536.333333333333</v>
      </c>
      <c r="AO31" s="201">
        <f t="shared" si="30"/>
        <v>7536.333333333333</v>
      </c>
      <c r="AP31" s="201">
        <f t="shared" si="30"/>
        <v>7536.333333333333</v>
      </c>
      <c r="AQ31" s="201">
        <f t="shared" si="30"/>
        <v>7536.333333333333</v>
      </c>
      <c r="AR31" s="201">
        <f t="shared" si="30"/>
        <v>7536.333333333333</v>
      </c>
      <c r="AS31" s="201">
        <f t="shared" si="30"/>
        <v>7536.333333333333</v>
      </c>
      <c r="AT31" s="201">
        <f t="shared" si="30"/>
        <v>7536.333333333333</v>
      </c>
      <c r="AU31" s="201">
        <f t="shared" si="30"/>
        <v>7536.333333333333</v>
      </c>
      <c r="AV31" s="201">
        <f t="shared" si="30"/>
        <v>7536.333333333333</v>
      </c>
      <c r="AW31" s="201">
        <f t="shared" si="30"/>
        <v>7536.333333333333</v>
      </c>
      <c r="AX31" s="201">
        <f t="shared" si="15"/>
        <v>11033.945633333336</v>
      </c>
      <c r="AY31" s="201">
        <f t="shared" ref="AY31:BI31" si="31">$B7*AY19</f>
        <v>7536.333333333333</v>
      </c>
      <c r="AZ31" s="201">
        <f t="shared" si="31"/>
        <v>7536.333333333333</v>
      </c>
      <c r="BA31" s="201">
        <f t="shared" si="31"/>
        <v>7536.333333333333</v>
      </c>
      <c r="BB31" s="201">
        <f t="shared" si="31"/>
        <v>7536.333333333333</v>
      </c>
      <c r="BC31" s="201">
        <f t="shared" si="31"/>
        <v>7536.333333333333</v>
      </c>
      <c r="BD31" s="201">
        <f t="shared" si="31"/>
        <v>7536.333333333333</v>
      </c>
      <c r="BE31" s="201">
        <f t="shared" si="31"/>
        <v>7536.333333333333</v>
      </c>
      <c r="BF31" s="201">
        <f t="shared" si="31"/>
        <v>7536.333333333333</v>
      </c>
      <c r="BG31" s="201">
        <f t="shared" si="31"/>
        <v>7536.333333333333</v>
      </c>
      <c r="BH31" s="201">
        <f t="shared" si="31"/>
        <v>7536.333333333333</v>
      </c>
      <c r="BI31" s="201">
        <f t="shared" si="31"/>
        <v>7536.333333333333</v>
      </c>
    </row>
    <row r="32" spans="1:61" ht="18" customHeight="1">
      <c r="A32" s="200" t="str">
        <f t="shared" si="2"/>
        <v>Admin Staff</v>
      </c>
      <c r="B32" s="201">
        <f t="shared" ref="B32:M33" si="32">$B8*B20</f>
        <v>7668.333333333333</v>
      </c>
      <c r="C32" s="201">
        <f t="shared" si="32"/>
        <v>7668.333333333333</v>
      </c>
      <c r="D32" s="201">
        <f t="shared" si="32"/>
        <v>7668.333333333333</v>
      </c>
      <c r="E32" s="201">
        <f t="shared" si="32"/>
        <v>7668.333333333333</v>
      </c>
      <c r="F32" s="201">
        <f t="shared" si="32"/>
        <v>7668.333333333333</v>
      </c>
      <c r="G32" s="201">
        <f t="shared" si="32"/>
        <v>7668.333333333333</v>
      </c>
      <c r="H32" s="201">
        <f t="shared" si="32"/>
        <v>7668.333333333333</v>
      </c>
      <c r="I32" s="201">
        <f t="shared" si="32"/>
        <v>7668.333333333333</v>
      </c>
      <c r="J32" s="201">
        <f t="shared" si="32"/>
        <v>7668.333333333333</v>
      </c>
      <c r="K32" s="201">
        <f t="shared" si="32"/>
        <v>7668.333333333333</v>
      </c>
      <c r="L32" s="201">
        <f t="shared" si="32"/>
        <v>7668.333333333333</v>
      </c>
      <c r="M32" s="201">
        <f t="shared" si="32"/>
        <v>7668.333333333333</v>
      </c>
      <c r="N32" s="201">
        <f t="shared" si="9"/>
        <v>8435.1666666666679</v>
      </c>
      <c r="O32" s="201">
        <f t="shared" ref="O32:Y33" si="33">$B8*O20</f>
        <v>7668.333333333333</v>
      </c>
      <c r="P32" s="201">
        <f t="shared" si="33"/>
        <v>7668.333333333333</v>
      </c>
      <c r="Q32" s="201">
        <f t="shared" si="33"/>
        <v>7668.333333333333</v>
      </c>
      <c r="R32" s="201">
        <f t="shared" si="33"/>
        <v>7668.333333333333</v>
      </c>
      <c r="S32" s="201">
        <f t="shared" si="33"/>
        <v>7668.333333333333</v>
      </c>
      <c r="T32" s="201">
        <f t="shared" si="33"/>
        <v>7668.333333333333</v>
      </c>
      <c r="U32" s="201">
        <f t="shared" si="33"/>
        <v>7668.333333333333</v>
      </c>
      <c r="V32" s="201">
        <f t="shared" si="33"/>
        <v>7668.333333333333</v>
      </c>
      <c r="W32" s="201">
        <f t="shared" si="33"/>
        <v>7668.333333333333</v>
      </c>
      <c r="X32" s="201">
        <f t="shared" si="33"/>
        <v>7668.333333333333</v>
      </c>
      <c r="Y32" s="201">
        <f t="shared" si="33"/>
        <v>7668.333333333333</v>
      </c>
      <c r="Z32" s="201">
        <f t="shared" si="11"/>
        <v>9278.6833333333361</v>
      </c>
      <c r="AA32" s="201">
        <f t="shared" ref="AA32:AK33" si="34">$B8*AA20</f>
        <v>7668.333333333333</v>
      </c>
      <c r="AB32" s="201">
        <f t="shared" si="34"/>
        <v>7668.333333333333</v>
      </c>
      <c r="AC32" s="201">
        <f t="shared" si="34"/>
        <v>7668.333333333333</v>
      </c>
      <c r="AD32" s="201">
        <f t="shared" si="34"/>
        <v>7668.333333333333</v>
      </c>
      <c r="AE32" s="201">
        <f t="shared" si="34"/>
        <v>7668.333333333333</v>
      </c>
      <c r="AF32" s="201">
        <f t="shared" si="34"/>
        <v>7668.333333333333</v>
      </c>
      <c r="AG32" s="201">
        <f t="shared" si="34"/>
        <v>7668.333333333333</v>
      </c>
      <c r="AH32" s="201">
        <f t="shared" si="34"/>
        <v>7668.333333333333</v>
      </c>
      <c r="AI32" s="201">
        <f t="shared" si="34"/>
        <v>7668.333333333333</v>
      </c>
      <c r="AJ32" s="201">
        <f t="shared" si="34"/>
        <v>7668.333333333333</v>
      </c>
      <c r="AK32" s="201">
        <f t="shared" si="34"/>
        <v>7668.333333333333</v>
      </c>
      <c r="AL32" s="201">
        <f t="shared" si="13"/>
        <v>10206.55166666667</v>
      </c>
      <c r="AM32" s="201">
        <f t="shared" ref="AM32:AW33" si="35">$B8*AM20</f>
        <v>7668.333333333333</v>
      </c>
      <c r="AN32" s="201">
        <f t="shared" si="35"/>
        <v>7668.333333333333</v>
      </c>
      <c r="AO32" s="201">
        <f t="shared" si="35"/>
        <v>7668.333333333333</v>
      </c>
      <c r="AP32" s="201">
        <f t="shared" si="35"/>
        <v>7668.333333333333</v>
      </c>
      <c r="AQ32" s="201">
        <f t="shared" si="35"/>
        <v>7668.333333333333</v>
      </c>
      <c r="AR32" s="201">
        <f t="shared" si="35"/>
        <v>7668.333333333333</v>
      </c>
      <c r="AS32" s="201">
        <f t="shared" si="35"/>
        <v>7668.333333333333</v>
      </c>
      <c r="AT32" s="201">
        <f t="shared" si="35"/>
        <v>7668.333333333333</v>
      </c>
      <c r="AU32" s="201">
        <f t="shared" si="35"/>
        <v>7668.333333333333</v>
      </c>
      <c r="AV32" s="201">
        <f t="shared" si="35"/>
        <v>7668.333333333333</v>
      </c>
      <c r="AW32" s="201">
        <f t="shared" si="35"/>
        <v>7668.333333333333</v>
      </c>
      <c r="AX32" s="201">
        <f t="shared" si="15"/>
        <v>11227.206833333337</v>
      </c>
      <c r="AY32" s="201">
        <f t="shared" ref="AY32:BI33" si="36">$B8*AY20</f>
        <v>7668.333333333333</v>
      </c>
      <c r="AZ32" s="201">
        <f t="shared" si="36"/>
        <v>7668.333333333333</v>
      </c>
      <c r="BA32" s="201">
        <f t="shared" si="36"/>
        <v>7668.333333333333</v>
      </c>
      <c r="BB32" s="201">
        <f t="shared" si="36"/>
        <v>7668.333333333333</v>
      </c>
      <c r="BC32" s="201">
        <f t="shared" si="36"/>
        <v>7668.333333333333</v>
      </c>
      <c r="BD32" s="201">
        <f t="shared" si="36"/>
        <v>7668.333333333333</v>
      </c>
      <c r="BE32" s="201">
        <f t="shared" si="36"/>
        <v>7668.333333333333</v>
      </c>
      <c r="BF32" s="201">
        <f t="shared" si="36"/>
        <v>7668.333333333333</v>
      </c>
      <c r="BG32" s="201">
        <f t="shared" si="36"/>
        <v>7668.333333333333</v>
      </c>
      <c r="BH32" s="201">
        <f t="shared" si="36"/>
        <v>7668.333333333333</v>
      </c>
      <c r="BI32" s="201">
        <f t="shared" si="36"/>
        <v>7668.333333333333</v>
      </c>
    </row>
    <row r="33" spans="1:61" ht="15.6">
      <c r="A33" s="200" t="str">
        <f t="shared" si="2"/>
        <v>Manufacturing Technicians</v>
      </c>
      <c r="B33" s="201">
        <f t="shared" si="32"/>
        <v>12474.5</v>
      </c>
      <c r="C33" s="201">
        <f t="shared" si="32"/>
        <v>12474.5</v>
      </c>
      <c r="D33" s="201">
        <f t="shared" si="32"/>
        <v>12474.5</v>
      </c>
      <c r="E33" s="201">
        <f t="shared" si="32"/>
        <v>12474.5</v>
      </c>
      <c r="F33" s="201">
        <f t="shared" si="32"/>
        <v>12474.5</v>
      </c>
      <c r="G33" s="201">
        <f t="shared" si="32"/>
        <v>12474.5</v>
      </c>
      <c r="H33" s="201">
        <f t="shared" si="32"/>
        <v>12474.5</v>
      </c>
      <c r="I33" s="201">
        <f t="shared" si="32"/>
        <v>12474.5</v>
      </c>
      <c r="J33" s="201">
        <f t="shared" si="32"/>
        <v>12474.5</v>
      </c>
      <c r="K33" s="201">
        <f t="shared" si="32"/>
        <v>12474.5</v>
      </c>
      <c r="L33" s="201">
        <f t="shared" si="32"/>
        <v>12474.5</v>
      </c>
      <c r="M33" s="201">
        <f t="shared" si="32"/>
        <v>12474.5</v>
      </c>
      <c r="N33" s="201">
        <f t="shared" si="9"/>
        <v>22869.916666666672</v>
      </c>
      <c r="O33" s="201">
        <f t="shared" si="33"/>
        <v>20790.833333333336</v>
      </c>
      <c r="P33" s="201">
        <f t="shared" si="33"/>
        <v>20790.833333333336</v>
      </c>
      <c r="Q33" s="201">
        <f t="shared" si="33"/>
        <v>20790.833333333336</v>
      </c>
      <c r="R33" s="201">
        <f t="shared" si="33"/>
        <v>20790.833333333336</v>
      </c>
      <c r="S33" s="201">
        <f t="shared" si="33"/>
        <v>20790.833333333336</v>
      </c>
      <c r="T33" s="201">
        <f t="shared" si="33"/>
        <v>20790.833333333336</v>
      </c>
      <c r="U33" s="201">
        <f t="shared" si="33"/>
        <v>20790.833333333336</v>
      </c>
      <c r="V33" s="201">
        <f t="shared" si="33"/>
        <v>20790.833333333336</v>
      </c>
      <c r="W33" s="201">
        <f t="shared" si="33"/>
        <v>20790.833333333336</v>
      </c>
      <c r="X33" s="201">
        <f t="shared" si="33"/>
        <v>20790.833333333336</v>
      </c>
      <c r="Y33" s="201">
        <f t="shared" si="33"/>
        <v>20790.833333333336</v>
      </c>
      <c r="Z33" s="201">
        <f t="shared" si="11"/>
        <v>25156.90833333334</v>
      </c>
      <c r="AA33" s="201">
        <f t="shared" si="34"/>
        <v>20790.833333333336</v>
      </c>
      <c r="AB33" s="201">
        <f t="shared" si="34"/>
        <v>20790.833333333336</v>
      </c>
      <c r="AC33" s="201">
        <f t="shared" si="34"/>
        <v>20790.833333333336</v>
      </c>
      <c r="AD33" s="201">
        <f t="shared" si="34"/>
        <v>20790.833333333336</v>
      </c>
      <c r="AE33" s="201">
        <f t="shared" si="34"/>
        <v>20790.833333333336</v>
      </c>
      <c r="AF33" s="201">
        <f t="shared" si="34"/>
        <v>20790.833333333336</v>
      </c>
      <c r="AG33" s="201">
        <f t="shared" si="34"/>
        <v>20790.833333333336</v>
      </c>
      <c r="AH33" s="201">
        <f t="shared" si="34"/>
        <v>20790.833333333336</v>
      </c>
      <c r="AI33" s="201">
        <f t="shared" si="34"/>
        <v>20790.833333333336</v>
      </c>
      <c r="AJ33" s="201">
        <f t="shared" si="34"/>
        <v>20790.833333333336</v>
      </c>
      <c r="AK33" s="201">
        <f t="shared" si="34"/>
        <v>20790.833333333336</v>
      </c>
      <c r="AL33" s="201">
        <f t="shared" si="13"/>
        <v>33207.119000000013</v>
      </c>
      <c r="AM33" s="201">
        <f t="shared" si="35"/>
        <v>24949</v>
      </c>
      <c r="AN33" s="201">
        <f t="shared" si="35"/>
        <v>24949</v>
      </c>
      <c r="AO33" s="201">
        <f t="shared" si="35"/>
        <v>24949</v>
      </c>
      <c r="AP33" s="201">
        <f t="shared" si="35"/>
        <v>24949</v>
      </c>
      <c r="AQ33" s="201">
        <f t="shared" si="35"/>
        <v>24949</v>
      </c>
      <c r="AR33" s="201">
        <f t="shared" si="35"/>
        <v>24949</v>
      </c>
      <c r="AS33" s="201">
        <f t="shared" si="35"/>
        <v>24949</v>
      </c>
      <c r="AT33" s="201">
        <f t="shared" si="35"/>
        <v>24949</v>
      </c>
      <c r="AU33" s="201">
        <f t="shared" si="35"/>
        <v>24949</v>
      </c>
      <c r="AV33" s="201">
        <f t="shared" si="35"/>
        <v>24949</v>
      </c>
      <c r="AW33" s="201">
        <f t="shared" si="35"/>
        <v>24949</v>
      </c>
      <c r="AX33" s="201">
        <f t="shared" si="15"/>
        <v>42615.802716666687</v>
      </c>
      <c r="AY33" s="201">
        <f t="shared" si="36"/>
        <v>29107.166666666668</v>
      </c>
      <c r="AZ33" s="201">
        <f t="shared" si="36"/>
        <v>29107.166666666668</v>
      </c>
      <c r="BA33" s="201">
        <f t="shared" si="36"/>
        <v>29107.166666666668</v>
      </c>
      <c r="BB33" s="201">
        <f t="shared" si="36"/>
        <v>29107.166666666668</v>
      </c>
      <c r="BC33" s="201">
        <f t="shared" si="36"/>
        <v>29107.166666666668</v>
      </c>
      <c r="BD33" s="201">
        <f t="shared" si="36"/>
        <v>29107.166666666668</v>
      </c>
      <c r="BE33" s="201">
        <f t="shared" si="36"/>
        <v>29107.166666666668</v>
      </c>
      <c r="BF33" s="201">
        <f t="shared" si="36"/>
        <v>29107.166666666668</v>
      </c>
      <c r="BG33" s="201">
        <f t="shared" si="36"/>
        <v>29107.166666666668</v>
      </c>
      <c r="BH33" s="201">
        <f t="shared" si="36"/>
        <v>29107.166666666668</v>
      </c>
      <c r="BI33" s="201">
        <f t="shared" si="36"/>
        <v>29107.166666666668</v>
      </c>
    </row>
    <row r="34" spans="1:61" ht="15.6">
      <c r="A34" s="94" t="s">
        <v>26</v>
      </c>
      <c r="B34" s="203">
        <f t="shared" ref="B34:AG34" si="37">SUM(B27:B33)</f>
        <v>79252.75</v>
      </c>
      <c r="C34" s="203">
        <f t="shared" si="37"/>
        <v>79252.75</v>
      </c>
      <c r="D34" s="203">
        <f t="shared" si="37"/>
        <v>79252.75</v>
      </c>
      <c r="E34" s="203">
        <f t="shared" si="37"/>
        <v>79252.75</v>
      </c>
      <c r="F34" s="203">
        <f t="shared" si="37"/>
        <v>79252.75</v>
      </c>
      <c r="G34" s="203">
        <f t="shared" si="37"/>
        <v>79252.75</v>
      </c>
      <c r="H34" s="203">
        <f t="shared" si="37"/>
        <v>79252.75</v>
      </c>
      <c r="I34" s="203">
        <f t="shared" si="37"/>
        <v>79252.75</v>
      </c>
      <c r="J34" s="203">
        <f t="shared" si="37"/>
        <v>79252.75</v>
      </c>
      <c r="K34" s="203">
        <f t="shared" si="37"/>
        <v>79252.75</v>
      </c>
      <c r="L34" s="203">
        <f t="shared" si="37"/>
        <v>79252.75</v>
      </c>
      <c r="M34" s="203">
        <f t="shared" si="37"/>
        <v>79252.75</v>
      </c>
      <c r="N34" s="203">
        <f t="shared" si="37"/>
        <v>96325.991666666683</v>
      </c>
      <c r="O34" s="203">
        <f t="shared" si="37"/>
        <v>87569.083333333343</v>
      </c>
      <c r="P34" s="203">
        <f t="shared" si="37"/>
        <v>87569.083333333343</v>
      </c>
      <c r="Q34" s="203">
        <f t="shared" si="37"/>
        <v>87569.083333333343</v>
      </c>
      <c r="R34" s="203">
        <f t="shared" si="37"/>
        <v>87569.083333333343</v>
      </c>
      <c r="S34" s="203">
        <f t="shared" si="37"/>
        <v>87569.083333333343</v>
      </c>
      <c r="T34" s="203">
        <f t="shared" si="37"/>
        <v>87569.083333333343</v>
      </c>
      <c r="U34" s="203">
        <f t="shared" si="37"/>
        <v>87569.083333333343</v>
      </c>
      <c r="V34" s="203">
        <f t="shared" si="37"/>
        <v>87569.083333333343</v>
      </c>
      <c r="W34" s="203">
        <f t="shared" si="37"/>
        <v>87569.083333333343</v>
      </c>
      <c r="X34" s="203">
        <f t="shared" si="37"/>
        <v>87569.083333333343</v>
      </c>
      <c r="Y34" s="203">
        <f t="shared" si="37"/>
        <v>87569.083333333343</v>
      </c>
      <c r="Z34" s="203">
        <f t="shared" si="37"/>
        <v>122273.82750000003</v>
      </c>
      <c r="AA34" s="203">
        <f t="shared" si="37"/>
        <v>101052.75</v>
      </c>
      <c r="AB34" s="203">
        <f t="shared" si="37"/>
        <v>101052.75</v>
      </c>
      <c r="AC34" s="203">
        <f t="shared" si="37"/>
        <v>101052.75</v>
      </c>
      <c r="AD34" s="203">
        <f t="shared" si="37"/>
        <v>101052.75</v>
      </c>
      <c r="AE34" s="203">
        <f t="shared" si="37"/>
        <v>101052.75</v>
      </c>
      <c r="AF34" s="203">
        <f t="shared" si="37"/>
        <v>101052.75</v>
      </c>
      <c r="AG34" s="203">
        <f t="shared" si="37"/>
        <v>101052.75</v>
      </c>
      <c r="AH34" s="203">
        <f t="shared" ref="AH34:BI34" si="38">SUM(AH27:AH33)</f>
        <v>101052.75</v>
      </c>
      <c r="AI34" s="203">
        <f t="shared" si="38"/>
        <v>101052.75</v>
      </c>
      <c r="AJ34" s="203">
        <f t="shared" si="38"/>
        <v>101052.75</v>
      </c>
      <c r="AK34" s="203">
        <f t="shared" si="38"/>
        <v>101052.75</v>
      </c>
      <c r="AL34" s="203">
        <f t="shared" si="38"/>
        <v>140035.73008333339</v>
      </c>
      <c r="AM34" s="203">
        <f t="shared" si="38"/>
        <v>105210.91666666666</v>
      </c>
      <c r="AN34" s="203">
        <f t="shared" si="38"/>
        <v>105210.91666666666</v>
      </c>
      <c r="AO34" s="203">
        <f t="shared" si="38"/>
        <v>105210.91666666666</v>
      </c>
      <c r="AP34" s="203">
        <f t="shared" si="38"/>
        <v>105210.91666666666</v>
      </c>
      <c r="AQ34" s="203">
        <f t="shared" si="38"/>
        <v>105210.91666666666</v>
      </c>
      <c r="AR34" s="203">
        <f t="shared" si="38"/>
        <v>105210.91666666666</v>
      </c>
      <c r="AS34" s="203">
        <f t="shared" si="38"/>
        <v>105210.91666666666</v>
      </c>
      <c r="AT34" s="203">
        <f t="shared" si="38"/>
        <v>105210.91666666666</v>
      </c>
      <c r="AU34" s="203">
        <f t="shared" si="38"/>
        <v>105210.91666666666</v>
      </c>
      <c r="AV34" s="203">
        <f t="shared" si="38"/>
        <v>105210.91666666666</v>
      </c>
      <c r="AW34" s="203">
        <f t="shared" si="38"/>
        <v>105210.91666666666</v>
      </c>
      <c r="AX34" s="203">
        <f t="shared" si="38"/>
        <v>160127.27490833341</v>
      </c>
      <c r="AY34" s="203">
        <f t="shared" si="38"/>
        <v>109369.08333333333</v>
      </c>
      <c r="AZ34" s="203">
        <f t="shared" si="38"/>
        <v>109369.08333333333</v>
      </c>
      <c r="BA34" s="203">
        <f t="shared" si="38"/>
        <v>109369.08333333333</v>
      </c>
      <c r="BB34" s="203">
        <f t="shared" si="38"/>
        <v>109369.08333333333</v>
      </c>
      <c r="BC34" s="203">
        <f t="shared" si="38"/>
        <v>109369.08333333333</v>
      </c>
      <c r="BD34" s="203">
        <f t="shared" si="38"/>
        <v>109369.08333333333</v>
      </c>
      <c r="BE34" s="203">
        <f t="shared" si="38"/>
        <v>109369.08333333333</v>
      </c>
      <c r="BF34" s="203">
        <f t="shared" si="38"/>
        <v>109369.08333333333</v>
      </c>
      <c r="BG34" s="203">
        <f t="shared" si="38"/>
        <v>109369.08333333333</v>
      </c>
      <c r="BH34" s="203">
        <f t="shared" si="38"/>
        <v>109369.08333333333</v>
      </c>
      <c r="BI34" s="203">
        <f t="shared" si="38"/>
        <v>109369.08333333333</v>
      </c>
    </row>
    <row r="36" spans="1:61" ht="17.399999999999999">
      <c r="A36" s="102" t="s">
        <v>119</v>
      </c>
      <c r="B36" s="171" t="s">
        <v>1</v>
      </c>
      <c r="C36" s="171" t="s">
        <v>2</v>
      </c>
      <c r="D36" s="171" t="s">
        <v>3</v>
      </c>
      <c r="E36" s="171" t="s">
        <v>4</v>
      </c>
      <c r="F36" s="171" t="s">
        <v>5</v>
      </c>
    </row>
    <row r="37" spans="1:61" ht="15.6">
      <c r="A37" s="200" t="str">
        <f t="shared" ref="A37:A43" si="39">A27</f>
        <v>Owner / Manager</v>
      </c>
      <c r="B37" s="201">
        <f t="shared" ref="B37:B43" si="40">SUM(B27:M27)</f>
        <v>0</v>
      </c>
      <c r="C37" s="201">
        <f t="shared" ref="C37:C43" si="41">SUM(N27:Y27)</f>
        <v>0</v>
      </c>
      <c r="D37" s="201">
        <f t="shared" ref="D37:D43" si="42">SUM(Z27:AK27)</f>
        <v>0</v>
      </c>
      <c r="E37" s="201">
        <f t="shared" ref="E37:E43" si="43">SUM(AL27:AW27)</f>
        <v>0</v>
      </c>
      <c r="F37" s="201">
        <f t="shared" ref="F37:F43" si="44">SUM(AX27:BI27)</f>
        <v>0</v>
      </c>
    </row>
    <row r="38" spans="1:61" ht="15.6">
      <c r="A38" s="200" t="str">
        <f t="shared" si="39"/>
        <v>CTO</v>
      </c>
      <c r="B38" s="201">
        <f t="shared" si="40"/>
        <v>346493</v>
      </c>
      <c r="C38" s="201">
        <f t="shared" si="41"/>
        <v>349380.44166666671</v>
      </c>
      <c r="D38" s="201">
        <f t="shared" si="42"/>
        <v>352556.62750000006</v>
      </c>
      <c r="E38" s="201">
        <f t="shared" si="43"/>
        <v>356050.43191666674</v>
      </c>
      <c r="F38" s="201">
        <f t="shared" si="44"/>
        <v>359893.61677500006</v>
      </c>
    </row>
    <row r="39" spans="1:61" ht="15.6">
      <c r="A39" s="200" t="str">
        <f t="shared" si="39"/>
        <v>AI &amp; Software Engineers</v>
      </c>
      <c r="B39" s="201">
        <f t="shared" si="40"/>
        <v>161804</v>
      </c>
      <c r="C39" s="201">
        <f t="shared" si="41"/>
        <v>163152.36666666667</v>
      </c>
      <c r="D39" s="201">
        <f t="shared" si="42"/>
        <v>329271.14</v>
      </c>
      <c r="E39" s="201">
        <f t="shared" si="43"/>
        <v>332534.18733333331</v>
      </c>
      <c r="F39" s="201">
        <f t="shared" si="44"/>
        <v>336123.53940000001</v>
      </c>
    </row>
    <row r="40" spans="1:61" ht="15.6">
      <c r="A40" s="200" t="str">
        <f t="shared" si="39"/>
        <v>Compliance &amp; Security Lead</v>
      </c>
      <c r="B40" s="201">
        <f t="shared" si="40"/>
        <v>110586</v>
      </c>
      <c r="C40" s="201">
        <f t="shared" si="41"/>
        <v>111507.55</v>
      </c>
      <c r="D40" s="201">
        <f t="shared" si="42"/>
        <v>112521.255</v>
      </c>
      <c r="E40" s="201">
        <f t="shared" si="43"/>
        <v>113636.33050000001</v>
      </c>
      <c r="F40" s="201">
        <f t="shared" si="44"/>
        <v>114862.91355</v>
      </c>
    </row>
    <row r="41" spans="1:61" ht="21.75" customHeight="1">
      <c r="A41" s="200" t="str">
        <f t="shared" si="39"/>
        <v>Marketing Specialist</v>
      </c>
      <c r="B41" s="201">
        <f t="shared" si="40"/>
        <v>90435.999999999985</v>
      </c>
      <c r="C41" s="201">
        <f t="shared" si="41"/>
        <v>91189.633333333317</v>
      </c>
      <c r="D41" s="201">
        <f t="shared" si="42"/>
        <v>92018.62999999999</v>
      </c>
      <c r="E41" s="201">
        <f t="shared" si="43"/>
        <v>92930.526333333328</v>
      </c>
      <c r="F41" s="201">
        <f t="shared" si="44"/>
        <v>93933.612299999993</v>
      </c>
    </row>
    <row r="42" spans="1:61" ht="15" customHeight="1">
      <c r="A42" s="200" t="str">
        <f t="shared" si="39"/>
        <v>Admin Staff</v>
      </c>
      <c r="B42" s="201">
        <f t="shared" si="40"/>
        <v>92019.999999999985</v>
      </c>
      <c r="C42" s="201">
        <f t="shared" si="41"/>
        <v>92786.833333333328</v>
      </c>
      <c r="D42" s="201">
        <f t="shared" si="42"/>
        <v>93630.349999999991</v>
      </c>
      <c r="E42" s="201">
        <f t="shared" si="43"/>
        <v>94558.218333333323</v>
      </c>
      <c r="F42" s="201">
        <f t="shared" si="44"/>
        <v>95578.873500000002</v>
      </c>
    </row>
    <row r="43" spans="1:61" ht="15.6">
      <c r="A43" s="200" t="str">
        <f t="shared" si="39"/>
        <v>Manufacturing Technicians</v>
      </c>
      <c r="B43" s="201">
        <f t="shared" si="40"/>
        <v>149694</v>
      </c>
      <c r="C43" s="201">
        <f t="shared" si="41"/>
        <v>251569.08333333343</v>
      </c>
      <c r="D43" s="201">
        <f t="shared" si="42"/>
        <v>253856.0750000001</v>
      </c>
      <c r="E43" s="201">
        <f t="shared" si="43"/>
        <v>307646.11900000001</v>
      </c>
      <c r="F43" s="201">
        <f t="shared" si="44"/>
        <v>362794.63605000009</v>
      </c>
    </row>
    <row r="44" spans="1:61" ht="15.6">
      <c r="A44" s="94" t="s">
        <v>26</v>
      </c>
      <c r="B44" s="209">
        <f>SUM(B37:B43)</f>
        <v>951033</v>
      </c>
      <c r="C44" s="209">
        <f t="shared" ref="C44:F44" si="45">SUM(C37:C43)</f>
        <v>1059585.9083333334</v>
      </c>
      <c r="D44" s="209">
        <f t="shared" si="45"/>
        <v>1233854.0775000001</v>
      </c>
      <c r="E44" s="209">
        <f t="shared" si="45"/>
        <v>1297355.8134166666</v>
      </c>
      <c r="F44" s="209">
        <f t="shared" si="45"/>
        <v>1363187.1915750001</v>
      </c>
    </row>
  </sheetData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7"/>
  <dimension ref="A1:CG23"/>
  <sheetViews>
    <sheetView showGridLines="0" zoomScale="85" zoomScaleNormal="85" workbookViewId="0">
      <selection activeCell="A2" sqref="A2"/>
    </sheetView>
  </sheetViews>
  <sheetFormatPr defaultColWidth="9.109375" defaultRowHeight="14.4"/>
  <cols>
    <col min="1" max="1" width="26.6640625" style="101" customWidth="1"/>
    <col min="2" max="2" width="17.44140625" style="101" customWidth="1"/>
    <col min="3" max="3" width="18" style="101" customWidth="1"/>
    <col min="4" max="5" width="17.33203125" style="101" customWidth="1"/>
    <col min="6" max="6" width="17.109375" style="101" customWidth="1"/>
    <col min="7" max="10" width="17.5546875" style="101" customWidth="1"/>
    <col min="11" max="11" width="15.5546875" style="101" customWidth="1"/>
    <col min="12" max="13" width="16" style="101" customWidth="1"/>
    <col min="14" max="14" width="15.6640625" style="101" customWidth="1"/>
    <col min="15" max="15" width="15.44140625" style="101" customWidth="1"/>
    <col min="16" max="19" width="16" style="101" customWidth="1"/>
    <col min="20" max="21" width="15.6640625" style="101" customWidth="1"/>
    <col min="22" max="23" width="15.5546875" style="101" customWidth="1"/>
    <col min="24" max="24" width="15.44140625" style="101" customWidth="1"/>
    <col min="25" max="27" width="16" style="101" customWidth="1"/>
    <col min="28" max="28" width="15.44140625" style="101" customWidth="1"/>
    <col min="29" max="30" width="15.5546875" style="101" customWidth="1"/>
    <col min="31" max="31" width="15.44140625" style="101" customWidth="1"/>
    <col min="32" max="33" width="15.5546875" style="101" customWidth="1"/>
    <col min="34" max="34" width="15.44140625" style="101" customWidth="1"/>
    <col min="35" max="36" width="15.5546875" style="101" customWidth="1"/>
    <col min="37" max="38" width="15.44140625" style="101" customWidth="1"/>
    <col min="39" max="39" width="15.6640625" style="101" customWidth="1"/>
    <col min="40" max="41" width="16" style="101" customWidth="1"/>
    <col min="42" max="44" width="15.44140625" style="101" customWidth="1"/>
    <col min="45" max="45" width="15.109375" style="101" customWidth="1"/>
    <col min="46" max="47" width="15.44140625" style="101" customWidth="1"/>
    <col min="48" max="50" width="15.5546875" style="101" customWidth="1"/>
    <col min="51" max="54" width="16" style="101" customWidth="1"/>
    <col min="55" max="55" width="15.44140625" style="101" customWidth="1"/>
    <col min="56" max="58" width="15.33203125" style="101" customWidth="1"/>
    <col min="59" max="60" width="15.109375" style="101" customWidth="1"/>
    <col min="61" max="63" width="15.5546875" style="101" customWidth="1"/>
    <col min="64" max="64" width="15" style="101" customWidth="1"/>
    <col min="65" max="66" width="15.6640625" style="101" customWidth="1"/>
    <col min="67" max="67" width="15.5546875" style="101" customWidth="1"/>
    <col min="68" max="69" width="15.44140625" style="101" customWidth="1"/>
    <col min="70" max="71" width="15.5546875" style="101" customWidth="1"/>
    <col min="72" max="73" width="15.33203125" style="101" customWidth="1"/>
    <col min="74" max="74" width="15.109375" style="101" customWidth="1"/>
    <col min="75" max="76" width="15.44140625" style="101" customWidth="1"/>
    <col min="77" max="77" width="15.33203125" style="101" customWidth="1"/>
    <col min="78" max="78" width="15.109375" style="101" customWidth="1"/>
    <col min="79" max="82" width="14.44140625" style="101" customWidth="1"/>
    <col min="83" max="84" width="14.33203125" style="101" customWidth="1"/>
    <col min="85" max="85" width="14.109375" style="101" customWidth="1"/>
    <col min="86" max="16384" width="9.109375" style="101"/>
  </cols>
  <sheetData>
    <row r="1" spans="1:85" ht="15.6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85" ht="15.6">
      <c r="A2" s="16" t="s">
        <v>164</v>
      </c>
      <c r="B2" s="54">
        <f>Assumptions!B60</f>
        <v>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85" ht="15.6">
      <c r="A3" s="16" t="s">
        <v>27</v>
      </c>
      <c r="B3" s="65">
        <f>Assumptions!B61</f>
        <v>0.115</v>
      </c>
      <c r="C3" s="191"/>
      <c r="D3" s="192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85" ht="15.6">
      <c r="A4" s="16" t="s">
        <v>28</v>
      </c>
      <c r="B4" s="16">
        <f>Assumptions!B62</f>
        <v>10</v>
      </c>
      <c r="C4" s="16" t="s">
        <v>29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</row>
    <row r="5" spans="1:85" ht="15.6">
      <c r="A5" s="16" t="s">
        <v>120</v>
      </c>
      <c r="B5" s="54">
        <f>PMT(B3/12,B4*12,-(B2))</f>
        <v>0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85" ht="15.6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85" ht="15.6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</row>
    <row r="8" spans="1:85" ht="17.399999999999999">
      <c r="A8" s="193" t="s">
        <v>121</v>
      </c>
      <c r="B8" s="194" t="s">
        <v>15</v>
      </c>
      <c r="C8" s="194" t="s">
        <v>41</v>
      </c>
      <c r="D8" s="194" t="s">
        <v>42</v>
      </c>
      <c r="E8" s="194" t="s">
        <v>43</v>
      </c>
      <c r="F8" s="194" t="s">
        <v>44</v>
      </c>
      <c r="G8" s="194" t="s">
        <v>45</v>
      </c>
      <c r="H8" s="194" t="s">
        <v>46</v>
      </c>
      <c r="I8" s="194" t="s">
        <v>47</v>
      </c>
      <c r="J8" s="194" t="s">
        <v>48</v>
      </c>
      <c r="K8" s="194" t="s">
        <v>49</v>
      </c>
      <c r="L8" s="194" t="s">
        <v>50</v>
      </c>
      <c r="M8" s="194" t="s">
        <v>51</v>
      </c>
      <c r="N8" s="194" t="s">
        <v>20</v>
      </c>
      <c r="O8" s="194" t="s">
        <v>52</v>
      </c>
      <c r="P8" s="194" t="s">
        <v>53</v>
      </c>
      <c r="Q8" s="194" t="s">
        <v>54</v>
      </c>
      <c r="R8" s="194" t="s">
        <v>55</v>
      </c>
      <c r="S8" s="194" t="s">
        <v>56</v>
      </c>
      <c r="T8" s="194" t="s">
        <v>57</v>
      </c>
      <c r="U8" s="194" t="s">
        <v>58</v>
      </c>
      <c r="V8" s="194" t="s">
        <v>59</v>
      </c>
      <c r="W8" s="194" t="s">
        <v>60</v>
      </c>
      <c r="X8" s="194" t="s">
        <v>61</v>
      </c>
      <c r="Y8" s="194" t="s">
        <v>62</v>
      </c>
      <c r="Z8" s="194" t="s">
        <v>63</v>
      </c>
      <c r="AA8" s="194" t="s">
        <v>64</v>
      </c>
      <c r="AB8" s="194" t="s">
        <v>65</v>
      </c>
      <c r="AC8" s="194" t="s">
        <v>66</v>
      </c>
      <c r="AD8" s="194" t="s">
        <v>67</v>
      </c>
      <c r="AE8" s="194" t="s">
        <v>68</v>
      </c>
      <c r="AF8" s="194" t="s">
        <v>69</v>
      </c>
      <c r="AG8" s="194" t="s">
        <v>70</v>
      </c>
      <c r="AH8" s="194" t="s">
        <v>71</v>
      </c>
      <c r="AI8" s="194" t="s">
        <v>72</v>
      </c>
      <c r="AJ8" s="194" t="s">
        <v>73</v>
      </c>
      <c r="AK8" s="194" t="s">
        <v>74</v>
      </c>
      <c r="AL8" s="194" t="s">
        <v>75</v>
      </c>
      <c r="AM8" s="194" t="s">
        <v>76</v>
      </c>
      <c r="AN8" s="194" t="s">
        <v>77</v>
      </c>
      <c r="AO8" s="194" t="s">
        <v>78</v>
      </c>
      <c r="AP8" s="194" t="s">
        <v>79</v>
      </c>
      <c r="AQ8" s="194" t="s">
        <v>80</v>
      </c>
      <c r="AR8" s="194" t="s">
        <v>81</v>
      </c>
      <c r="AS8" s="194" t="s">
        <v>82</v>
      </c>
      <c r="AT8" s="194" t="s">
        <v>83</v>
      </c>
      <c r="AU8" s="194" t="s">
        <v>84</v>
      </c>
      <c r="AV8" s="194" t="s">
        <v>85</v>
      </c>
      <c r="AW8" s="194" t="s">
        <v>86</v>
      </c>
      <c r="AX8" s="194" t="s">
        <v>87</v>
      </c>
      <c r="AY8" s="194" t="s">
        <v>88</v>
      </c>
      <c r="AZ8" s="194" t="s">
        <v>89</v>
      </c>
      <c r="BA8" s="194" t="s">
        <v>90</v>
      </c>
      <c r="BB8" s="194" t="s">
        <v>91</v>
      </c>
      <c r="BC8" s="194" t="s">
        <v>92</v>
      </c>
      <c r="BD8" s="194" t="s">
        <v>93</v>
      </c>
      <c r="BE8" s="194" t="s">
        <v>94</v>
      </c>
      <c r="BF8" s="194" t="s">
        <v>95</v>
      </c>
      <c r="BG8" s="194" t="s">
        <v>96</v>
      </c>
      <c r="BH8" s="194" t="s">
        <v>97</v>
      </c>
      <c r="BI8" s="194" t="s">
        <v>98</v>
      </c>
      <c r="BJ8" s="194" t="s">
        <v>122</v>
      </c>
      <c r="BK8" s="194" t="s">
        <v>123</v>
      </c>
      <c r="BL8" s="194" t="s">
        <v>124</v>
      </c>
      <c r="BM8" s="194" t="s">
        <v>125</v>
      </c>
      <c r="BN8" s="194" t="s">
        <v>126</v>
      </c>
      <c r="BO8" s="194" t="s">
        <v>127</v>
      </c>
      <c r="BP8" s="194" t="s">
        <v>128</v>
      </c>
      <c r="BQ8" s="194" t="s">
        <v>129</v>
      </c>
      <c r="BR8" s="194" t="s">
        <v>130</v>
      </c>
      <c r="BS8" s="194" t="s">
        <v>131</v>
      </c>
      <c r="BT8" s="194" t="s">
        <v>132</v>
      </c>
      <c r="BU8" s="194" t="s">
        <v>133</v>
      </c>
      <c r="BV8" s="194" t="s">
        <v>134</v>
      </c>
      <c r="BW8" s="194" t="s">
        <v>135</v>
      </c>
      <c r="BX8" s="194" t="s">
        <v>136</v>
      </c>
      <c r="BY8" s="194" t="s">
        <v>137</v>
      </c>
      <c r="BZ8" s="194" t="s">
        <v>138</v>
      </c>
      <c r="CA8" s="194" t="s">
        <v>139</v>
      </c>
      <c r="CB8" s="194" t="s">
        <v>140</v>
      </c>
      <c r="CC8" s="194" t="s">
        <v>141</v>
      </c>
      <c r="CD8" s="194" t="s">
        <v>142</v>
      </c>
      <c r="CE8" s="194" t="s">
        <v>143</v>
      </c>
      <c r="CF8" s="194" t="s">
        <v>144</v>
      </c>
      <c r="CG8" s="194" t="s">
        <v>145</v>
      </c>
    </row>
    <row r="9" spans="1:85" ht="15.6">
      <c r="A9" s="195" t="s">
        <v>146</v>
      </c>
      <c r="B9" s="196">
        <f>B2</f>
        <v>0</v>
      </c>
      <c r="C9" s="196">
        <f>B13</f>
        <v>0</v>
      </c>
      <c r="D9" s="196">
        <f t="shared" ref="D9:BO9" si="0">C13</f>
        <v>0</v>
      </c>
      <c r="E9" s="196">
        <f t="shared" si="0"/>
        <v>0</v>
      </c>
      <c r="F9" s="196">
        <f t="shared" si="0"/>
        <v>0</v>
      </c>
      <c r="G9" s="196">
        <f t="shared" si="0"/>
        <v>0</v>
      </c>
      <c r="H9" s="196">
        <f t="shared" si="0"/>
        <v>0</v>
      </c>
      <c r="I9" s="196">
        <f t="shared" si="0"/>
        <v>0</v>
      </c>
      <c r="J9" s="196">
        <f t="shared" si="0"/>
        <v>0</v>
      </c>
      <c r="K9" s="196">
        <f t="shared" si="0"/>
        <v>0</v>
      </c>
      <c r="L9" s="196">
        <f t="shared" si="0"/>
        <v>0</v>
      </c>
      <c r="M9" s="196">
        <f t="shared" si="0"/>
        <v>0</v>
      </c>
      <c r="N9" s="196">
        <f t="shared" si="0"/>
        <v>0</v>
      </c>
      <c r="O9" s="196">
        <f t="shared" si="0"/>
        <v>0</v>
      </c>
      <c r="P9" s="196">
        <f t="shared" si="0"/>
        <v>0</v>
      </c>
      <c r="Q9" s="196">
        <f t="shared" si="0"/>
        <v>0</v>
      </c>
      <c r="R9" s="196">
        <f t="shared" si="0"/>
        <v>0</v>
      </c>
      <c r="S9" s="196">
        <f t="shared" si="0"/>
        <v>0</v>
      </c>
      <c r="T9" s="196">
        <f t="shared" si="0"/>
        <v>0</v>
      </c>
      <c r="U9" s="196">
        <f t="shared" si="0"/>
        <v>0</v>
      </c>
      <c r="V9" s="196">
        <f t="shared" si="0"/>
        <v>0</v>
      </c>
      <c r="W9" s="196">
        <f t="shared" si="0"/>
        <v>0</v>
      </c>
      <c r="X9" s="196">
        <f t="shared" si="0"/>
        <v>0</v>
      </c>
      <c r="Y9" s="196">
        <f t="shared" si="0"/>
        <v>0</v>
      </c>
      <c r="Z9" s="196">
        <f t="shared" si="0"/>
        <v>0</v>
      </c>
      <c r="AA9" s="196">
        <f t="shared" si="0"/>
        <v>0</v>
      </c>
      <c r="AB9" s="196">
        <f t="shared" si="0"/>
        <v>0</v>
      </c>
      <c r="AC9" s="196">
        <f t="shared" si="0"/>
        <v>0</v>
      </c>
      <c r="AD9" s="196">
        <f t="shared" si="0"/>
        <v>0</v>
      </c>
      <c r="AE9" s="196">
        <f t="shared" si="0"/>
        <v>0</v>
      </c>
      <c r="AF9" s="196">
        <f t="shared" si="0"/>
        <v>0</v>
      </c>
      <c r="AG9" s="196">
        <f t="shared" si="0"/>
        <v>0</v>
      </c>
      <c r="AH9" s="196">
        <f t="shared" si="0"/>
        <v>0</v>
      </c>
      <c r="AI9" s="196">
        <f t="shared" si="0"/>
        <v>0</v>
      </c>
      <c r="AJ9" s="196">
        <f t="shared" si="0"/>
        <v>0</v>
      </c>
      <c r="AK9" s="196">
        <f t="shared" si="0"/>
        <v>0</v>
      </c>
      <c r="AL9" s="196">
        <f t="shared" si="0"/>
        <v>0</v>
      </c>
      <c r="AM9" s="196">
        <f t="shared" si="0"/>
        <v>0</v>
      </c>
      <c r="AN9" s="196">
        <f t="shared" si="0"/>
        <v>0</v>
      </c>
      <c r="AO9" s="196">
        <f t="shared" si="0"/>
        <v>0</v>
      </c>
      <c r="AP9" s="196">
        <f t="shared" si="0"/>
        <v>0</v>
      </c>
      <c r="AQ9" s="196">
        <f t="shared" si="0"/>
        <v>0</v>
      </c>
      <c r="AR9" s="196">
        <f t="shared" si="0"/>
        <v>0</v>
      </c>
      <c r="AS9" s="196">
        <f t="shared" si="0"/>
        <v>0</v>
      </c>
      <c r="AT9" s="196">
        <f t="shared" si="0"/>
        <v>0</v>
      </c>
      <c r="AU9" s="196">
        <f t="shared" si="0"/>
        <v>0</v>
      </c>
      <c r="AV9" s="196">
        <f t="shared" si="0"/>
        <v>0</v>
      </c>
      <c r="AW9" s="196">
        <f t="shared" si="0"/>
        <v>0</v>
      </c>
      <c r="AX9" s="196">
        <f t="shared" si="0"/>
        <v>0</v>
      </c>
      <c r="AY9" s="196">
        <f t="shared" si="0"/>
        <v>0</v>
      </c>
      <c r="AZ9" s="196">
        <f t="shared" si="0"/>
        <v>0</v>
      </c>
      <c r="BA9" s="196">
        <f t="shared" si="0"/>
        <v>0</v>
      </c>
      <c r="BB9" s="196">
        <f t="shared" si="0"/>
        <v>0</v>
      </c>
      <c r="BC9" s="196">
        <f t="shared" si="0"/>
        <v>0</v>
      </c>
      <c r="BD9" s="196">
        <f t="shared" si="0"/>
        <v>0</v>
      </c>
      <c r="BE9" s="196">
        <f t="shared" si="0"/>
        <v>0</v>
      </c>
      <c r="BF9" s="196">
        <f t="shared" si="0"/>
        <v>0</v>
      </c>
      <c r="BG9" s="196">
        <f t="shared" si="0"/>
        <v>0</v>
      </c>
      <c r="BH9" s="196">
        <f t="shared" si="0"/>
        <v>0</v>
      </c>
      <c r="BI9" s="196">
        <f t="shared" si="0"/>
        <v>0</v>
      </c>
      <c r="BJ9" s="196">
        <f t="shared" si="0"/>
        <v>0</v>
      </c>
      <c r="BK9" s="196">
        <f t="shared" si="0"/>
        <v>0</v>
      </c>
      <c r="BL9" s="196">
        <f t="shared" si="0"/>
        <v>0</v>
      </c>
      <c r="BM9" s="196">
        <f t="shared" si="0"/>
        <v>0</v>
      </c>
      <c r="BN9" s="196">
        <f t="shared" si="0"/>
        <v>0</v>
      </c>
      <c r="BO9" s="196">
        <f t="shared" si="0"/>
        <v>0</v>
      </c>
      <c r="BP9" s="196">
        <f t="shared" ref="BP9:CG9" si="1">BO13</f>
        <v>0</v>
      </c>
      <c r="BQ9" s="196">
        <f t="shared" si="1"/>
        <v>0</v>
      </c>
      <c r="BR9" s="196">
        <f t="shared" si="1"/>
        <v>0</v>
      </c>
      <c r="BS9" s="196">
        <f t="shared" si="1"/>
        <v>0</v>
      </c>
      <c r="BT9" s="196">
        <f t="shared" si="1"/>
        <v>0</v>
      </c>
      <c r="BU9" s="196">
        <f t="shared" si="1"/>
        <v>0</v>
      </c>
      <c r="BV9" s="196">
        <f t="shared" si="1"/>
        <v>0</v>
      </c>
      <c r="BW9" s="196">
        <f t="shared" si="1"/>
        <v>0</v>
      </c>
      <c r="BX9" s="196">
        <f t="shared" si="1"/>
        <v>0</v>
      </c>
      <c r="BY9" s="196">
        <f t="shared" si="1"/>
        <v>0</v>
      </c>
      <c r="BZ9" s="196">
        <f t="shared" si="1"/>
        <v>0</v>
      </c>
      <c r="CA9" s="196">
        <f t="shared" si="1"/>
        <v>0</v>
      </c>
      <c r="CB9" s="196">
        <f t="shared" si="1"/>
        <v>0</v>
      </c>
      <c r="CC9" s="196">
        <f t="shared" si="1"/>
        <v>0</v>
      </c>
      <c r="CD9" s="196">
        <f t="shared" si="1"/>
        <v>0</v>
      </c>
      <c r="CE9" s="196">
        <f t="shared" si="1"/>
        <v>0</v>
      </c>
      <c r="CF9" s="196">
        <f t="shared" si="1"/>
        <v>0</v>
      </c>
      <c r="CG9" s="196">
        <f t="shared" si="1"/>
        <v>0</v>
      </c>
    </row>
    <row r="10" spans="1:85" ht="15.6">
      <c r="A10" s="195" t="s">
        <v>147</v>
      </c>
      <c r="B10" s="196">
        <f>B5</f>
        <v>0</v>
      </c>
      <c r="C10" s="196">
        <f>B10</f>
        <v>0</v>
      </c>
      <c r="D10" s="196">
        <f t="shared" ref="D10:BO10" si="2">C10</f>
        <v>0</v>
      </c>
      <c r="E10" s="196">
        <f t="shared" si="2"/>
        <v>0</v>
      </c>
      <c r="F10" s="196">
        <f t="shared" si="2"/>
        <v>0</v>
      </c>
      <c r="G10" s="196">
        <f t="shared" si="2"/>
        <v>0</v>
      </c>
      <c r="H10" s="196">
        <f t="shared" si="2"/>
        <v>0</v>
      </c>
      <c r="I10" s="196">
        <f t="shared" si="2"/>
        <v>0</v>
      </c>
      <c r="J10" s="196">
        <f t="shared" si="2"/>
        <v>0</v>
      </c>
      <c r="K10" s="196">
        <f t="shared" si="2"/>
        <v>0</v>
      </c>
      <c r="L10" s="196">
        <f t="shared" si="2"/>
        <v>0</v>
      </c>
      <c r="M10" s="196">
        <f t="shared" si="2"/>
        <v>0</v>
      </c>
      <c r="N10" s="196">
        <f t="shared" si="2"/>
        <v>0</v>
      </c>
      <c r="O10" s="196">
        <f t="shared" si="2"/>
        <v>0</v>
      </c>
      <c r="P10" s="196">
        <f t="shared" si="2"/>
        <v>0</v>
      </c>
      <c r="Q10" s="196">
        <f t="shared" si="2"/>
        <v>0</v>
      </c>
      <c r="R10" s="196">
        <f t="shared" si="2"/>
        <v>0</v>
      </c>
      <c r="S10" s="196">
        <f t="shared" si="2"/>
        <v>0</v>
      </c>
      <c r="T10" s="196">
        <f t="shared" si="2"/>
        <v>0</v>
      </c>
      <c r="U10" s="196">
        <f t="shared" si="2"/>
        <v>0</v>
      </c>
      <c r="V10" s="196">
        <f t="shared" si="2"/>
        <v>0</v>
      </c>
      <c r="W10" s="196">
        <f t="shared" si="2"/>
        <v>0</v>
      </c>
      <c r="X10" s="196">
        <f t="shared" si="2"/>
        <v>0</v>
      </c>
      <c r="Y10" s="196">
        <f t="shared" si="2"/>
        <v>0</v>
      </c>
      <c r="Z10" s="196">
        <f t="shared" si="2"/>
        <v>0</v>
      </c>
      <c r="AA10" s="196">
        <f t="shared" si="2"/>
        <v>0</v>
      </c>
      <c r="AB10" s="196">
        <f t="shared" si="2"/>
        <v>0</v>
      </c>
      <c r="AC10" s="196">
        <f t="shared" si="2"/>
        <v>0</v>
      </c>
      <c r="AD10" s="196">
        <f t="shared" si="2"/>
        <v>0</v>
      </c>
      <c r="AE10" s="196">
        <f t="shared" si="2"/>
        <v>0</v>
      </c>
      <c r="AF10" s="196">
        <f t="shared" si="2"/>
        <v>0</v>
      </c>
      <c r="AG10" s="196">
        <f t="shared" si="2"/>
        <v>0</v>
      </c>
      <c r="AH10" s="196">
        <f t="shared" si="2"/>
        <v>0</v>
      </c>
      <c r="AI10" s="196">
        <f t="shared" si="2"/>
        <v>0</v>
      </c>
      <c r="AJ10" s="196">
        <f t="shared" si="2"/>
        <v>0</v>
      </c>
      <c r="AK10" s="196">
        <f t="shared" si="2"/>
        <v>0</v>
      </c>
      <c r="AL10" s="196">
        <f t="shared" si="2"/>
        <v>0</v>
      </c>
      <c r="AM10" s="196">
        <f t="shared" si="2"/>
        <v>0</v>
      </c>
      <c r="AN10" s="196">
        <f t="shared" si="2"/>
        <v>0</v>
      </c>
      <c r="AO10" s="196">
        <f t="shared" si="2"/>
        <v>0</v>
      </c>
      <c r="AP10" s="196">
        <f t="shared" si="2"/>
        <v>0</v>
      </c>
      <c r="AQ10" s="196">
        <f t="shared" si="2"/>
        <v>0</v>
      </c>
      <c r="AR10" s="196">
        <f t="shared" si="2"/>
        <v>0</v>
      </c>
      <c r="AS10" s="196">
        <f t="shared" si="2"/>
        <v>0</v>
      </c>
      <c r="AT10" s="196">
        <f t="shared" si="2"/>
        <v>0</v>
      </c>
      <c r="AU10" s="196">
        <f t="shared" si="2"/>
        <v>0</v>
      </c>
      <c r="AV10" s="196">
        <f t="shared" si="2"/>
        <v>0</v>
      </c>
      <c r="AW10" s="196">
        <f t="shared" si="2"/>
        <v>0</v>
      </c>
      <c r="AX10" s="196">
        <f t="shared" si="2"/>
        <v>0</v>
      </c>
      <c r="AY10" s="196">
        <f t="shared" si="2"/>
        <v>0</v>
      </c>
      <c r="AZ10" s="196">
        <f t="shared" si="2"/>
        <v>0</v>
      </c>
      <c r="BA10" s="196">
        <f t="shared" si="2"/>
        <v>0</v>
      </c>
      <c r="BB10" s="196">
        <f t="shared" si="2"/>
        <v>0</v>
      </c>
      <c r="BC10" s="196">
        <f t="shared" si="2"/>
        <v>0</v>
      </c>
      <c r="BD10" s="196">
        <f t="shared" si="2"/>
        <v>0</v>
      </c>
      <c r="BE10" s="196">
        <f t="shared" si="2"/>
        <v>0</v>
      </c>
      <c r="BF10" s="196">
        <f t="shared" si="2"/>
        <v>0</v>
      </c>
      <c r="BG10" s="196">
        <f t="shared" si="2"/>
        <v>0</v>
      </c>
      <c r="BH10" s="196">
        <f t="shared" si="2"/>
        <v>0</v>
      </c>
      <c r="BI10" s="196">
        <f t="shared" si="2"/>
        <v>0</v>
      </c>
      <c r="BJ10" s="196">
        <f t="shared" si="2"/>
        <v>0</v>
      </c>
      <c r="BK10" s="196">
        <f t="shared" si="2"/>
        <v>0</v>
      </c>
      <c r="BL10" s="196">
        <f t="shared" si="2"/>
        <v>0</v>
      </c>
      <c r="BM10" s="196">
        <f t="shared" si="2"/>
        <v>0</v>
      </c>
      <c r="BN10" s="196">
        <f t="shared" si="2"/>
        <v>0</v>
      </c>
      <c r="BO10" s="196">
        <f t="shared" si="2"/>
        <v>0</v>
      </c>
      <c r="BP10" s="196">
        <f t="shared" ref="BP10:CG10" si="3">BO10</f>
        <v>0</v>
      </c>
      <c r="BQ10" s="196">
        <f t="shared" si="3"/>
        <v>0</v>
      </c>
      <c r="BR10" s="196">
        <f t="shared" si="3"/>
        <v>0</v>
      </c>
      <c r="BS10" s="196">
        <f t="shared" si="3"/>
        <v>0</v>
      </c>
      <c r="BT10" s="196">
        <f t="shared" si="3"/>
        <v>0</v>
      </c>
      <c r="BU10" s="196">
        <f t="shared" si="3"/>
        <v>0</v>
      </c>
      <c r="BV10" s="196">
        <f t="shared" si="3"/>
        <v>0</v>
      </c>
      <c r="BW10" s="196">
        <f t="shared" si="3"/>
        <v>0</v>
      </c>
      <c r="BX10" s="196">
        <f t="shared" si="3"/>
        <v>0</v>
      </c>
      <c r="BY10" s="196">
        <f t="shared" si="3"/>
        <v>0</v>
      </c>
      <c r="BZ10" s="196">
        <f t="shared" si="3"/>
        <v>0</v>
      </c>
      <c r="CA10" s="196">
        <f t="shared" si="3"/>
        <v>0</v>
      </c>
      <c r="CB10" s="196">
        <f t="shared" si="3"/>
        <v>0</v>
      </c>
      <c r="CC10" s="196">
        <f t="shared" si="3"/>
        <v>0</v>
      </c>
      <c r="CD10" s="196">
        <f t="shared" si="3"/>
        <v>0</v>
      </c>
      <c r="CE10" s="196">
        <f t="shared" si="3"/>
        <v>0</v>
      </c>
      <c r="CF10" s="196">
        <f t="shared" si="3"/>
        <v>0</v>
      </c>
      <c r="CG10" s="196">
        <f t="shared" si="3"/>
        <v>0</v>
      </c>
    </row>
    <row r="11" spans="1:85" ht="15.6">
      <c r="A11" s="195" t="s">
        <v>148</v>
      </c>
      <c r="B11" s="196">
        <f>B9*$B$3/12</f>
        <v>0</v>
      </c>
      <c r="C11" s="196">
        <f t="shared" ref="C11:BN11" si="4">C9*$B$3/12</f>
        <v>0</v>
      </c>
      <c r="D11" s="196">
        <f t="shared" si="4"/>
        <v>0</v>
      </c>
      <c r="E11" s="196">
        <f t="shared" si="4"/>
        <v>0</v>
      </c>
      <c r="F11" s="196">
        <f t="shared" si="4"/>
        <v>0</v>
      </c>
      <c r="G11" s="196">
        <f t="shared" si="4"/>
        <v>0</v>
      </c>
      <c r="H11" s="196">
        <f t="shared" si="4"/>
        <v>0</v>
      </c>
      <c r="I11" s="196">
        <f t="shared" si="4"/>
        <v>0</v>
      </c>
      <c r="J11" s="196">
        <f t="shared" si="4"/>
        <v>0</v>
      </c>
      <c r="K11" s="196">
        <f t="shared" si="4"/>
        <v>0</v>
      </c>
      <c r="L11" s="196">
        <f t="shared" si="4"/>
        <v>0</v>
      </c>
      <c r="M11" s="196">
        <f t="shared" si="4"/>
        <v>0</v>
      </c>
      <c r="N11" s="196">
        <f t="shared" si="4"/>
        <v>0</v>
      </c>
      <c r="O11" s="196">
        <f t="shared" si="4"/>
        <v>0</v>
      </c>
      <c r="P11" s="196">
        <f t="shared" si="4"/>
        <v>0</v>
      </c>
      <c r="Q11" s="196">
        <f t="shared" si="4"/>
        <v>0</v>
      </c>
      <c r="R11" s="196">
        <f t="shared" si="4"/>
        <v>0</v>
      </c>
      <c r="S11" s="196">
        <f t="shared" si="4"/>
        <v>0</v>
      </c>
      <c r="T11" s="196">
        <f t="shared" si="4"/>
        <v>0</v>
      </c>
      <c r="U11" s="196">
        <f t="shared" si="4"/>
        <v>0</v>
      </c>
      <c r="V11" s="196">
        <f t="shared" si="4"/>
        <v>0</v>
      </c>
      <c r="W11" s="196">
        <f t="shared" si="4"/>
        <v>0</v>
      </c>
      <c r="X11" s="196">
        <f t="shared" si="4"/>
        <v>0</v>
      </c>
      <c r="Y11" s="196">
        <f t="shared" si="4"/>
        <v>0</v>
      </c>
      <c r="Z11" s="196">
        <f t="shared" si="4"/>
        <v>0</v>
      </c>
      <c r="AA11" s="196">
        <f t="shared" si="4"/>
        <v>0</v>
      </c>
      <c r="AB11" s="196">
        <f t="shared" si="4"/>
        <v>0</v>
      </c>
      <c r="AC11" s="196">
        <f t="shared" si="4"/>
        <v>0</v>
      </c>
      <c r="AD11" s="196">
        <f t="shared" si="4"/>
        <v>0</v>
      </c>
      <c r="AE11" s="196">
        <f t="shared" si="4"/>
        <v>0</v>
      </c>
      <c r="AF11" s="196">
        <f t="shared" si="4"/>
        <v>0</v>
      </c>
      <c r="AG11" s="196">
        <f t="shared" si="4"/>
        <v>0</v>
      </c>
      <c r="AH11" s="196">
        <f t="shared" si="4"/>
        <v>0</v>
      </c>
      <c r="AI11" s="196">
        <f t="shared" si="4"/>
        <v>0</v>
      </c>
      <c r="AJ11" s="196">
        <f t="shared" si="4"/>
        <v>0</v>
      </c>
      <c r="AK11" s="196">
        <f t="shared" si="4"/>
        <v>0</v>
      </c>
      <c r="AL11" s="196">
        <f t="shared" si="4"/>
        <v>0</v>
      </c>
      <c r="AM11" s="196">
        <f t="shared" si="4"/>
        <v>0</v>
      </c>
      <c r="AN11" s="196">
        <f t="shared" si="4"/>
        <v>0</v>
      </c>
      <c r="AO11" s="196">
        <f t="shared" si="4"/>
        <v>0</v>
      </c>
      <c r="AP11" s="196">
        <f t="shared" si="4"/>
        <v>0</v>
      </c>
      <c r="AQ11" s="196">
        <f t="shared" si="4"/>
        <v>0</v>
      </c>
      <c r="AR11" s="196">
        <f t="shared" si="4"/>
        <v>0</v>
      </c>
      <c r="AS11" s="196">
        <f t="shared" si="4"/>
        <v>0</v>
      </c>
      <c r="AT11" s="196">
        <f t="shared" si="4"/>
        <v>0</v>
      </c>
      <c r="AU11" s="196">
        <f t="shared" si="4"/>
        <v>0</v>
      </c>
      <c r="AV11" s="196">
        <f t="shared" si="4"/>
        <v>0</v>
      </c>
      <c r="AW11" s="196">
        <f t="shared" si="4"/>
        <v>0</v>
      </c>
      <c r="AX11" s="196">
        <f t="shared" si="4"/>
        <v>0</v>
      </c>
      <c r="AY11" s="196">
        <f t="shared" si="4"/>
        <v>0</v>
      </c>
      <c r="AZ11" s="196">
        <f t="shared" si="4"/>
        <v>0</v>
      </c>
      <c r="BA11" s="196">
        <f t="shared" si="4"/>
        <v>0</v>
      </c>
      <c r="BB11" s="196">
        <f t="shared" si="4"/>
        <v>0</v>
      </c>
      <c r="BC11" s="196">
        <f t="shared" si="4"/>
        <v>0</v>
      </c>
      <c r="BD11" s="196">
        <f t="shared" si="4"/>
        <v>0</v>
      </c>
      <c r="BE11" s="196">
        <f t="shared" si="4"/>
        <v>0</v>
      </c>
      <c r="BF11" s="196">
        <f t="shared" si="4"/>
        <v>0</v>
      </c>
      <c r="BG11" s="196">
        <f t="shared" si="4"/>
        <v>0</v>
      </c>
      <c r="BH11" s="196">
        <f t="shared" si="4"/>
        <v>0</v>
      </c>
      <c r="BI11" s="196">
        <f t="shared" si="4"/>
        <v>0</v>
      </c>
      <c r="BJ11" s="196">
        <f t="shared" si="4"/>
        <v>0</v>
      </c>
      <c r="BK11" s="196">
        <f t="shared" si="4"/>
        <v>0</v>
      </c>
      <c r="BL11" s="196">
        <f t="shared" si="4"/>
        <v>0</v>
      </c>
      <c r="BM11" s="196">
        <f t="shared" si="4"/>
        <v>0</v>
      </c>
      <c r="BN11" s="196">
        <f t="shared" si="4"/>
        <v>0</v>
      </c>
      <c r="BO11" s="196">
        <f t="shared" ref="BO11:CG11" si="5">BO9*$B$3/12</f>
        <v>0</v>
      </c>
      <c r="BP11" s="196">
        <f t="shared" si="5"/>
        <v>0</v>
      </c>
      <c r="BQ11" s="196">
        <f t="shared" si="5"/>
        <v>0</v>
      </c>
      <c r="BR11" s="196">
        <f t="shared" si="5"/>
        <v>0</v>
      </c>
      <c r="BS11" s="196">
        <f t="shared" si="5"/>
        <v>0</v>
      </c>
      <c r="BT11" s="196">
        <f t="shared" si="5"/>
        <v>0</v>
      </c>
      <c r="BU11" s="196">
        <f t="shared" si="5"/>
        <v>0</v>
      </c>
      <c r="BV11" s="196">
        <f t="shared" si="5"/>
        <v>0</v>
      </c>
      <c r="BW11" s="196">
        <f t="shared" si="5"/>
        <v>0</v>
      </c>
      <c r="BX11" s="196">
        <f t="shared" si="5"/>
        <v>0</v>
      </c>
      <c r="BY11" s="196">
        <f t="shared" si="5"/>
        <v>0</v>
      </c>
      <c r="BZ11" s="196">
        <f t="shared" si="5"/>
        <v>0</v>
      </c>
      <c r="CA11" s="196">
        <f t="shared" si="5"/>
        <v>0</v>
      </c>
      <c r="CB11" s="196">
        <f t="shared" si="5"/>
        <v>0</v>
      </c>
      <c r="CC11" s="196">
        <f t="shared" si="5"/>
        <v>0</v>
      </c>
      <c r="CD11" s="196">
        <f t="shared" si="5"/>
        <v>0</v>
      </c>
      <c r="CE11" s="196">
        <f t="shared" si="5"/>
        <v>0</v>
      </c>
      <c r="CF11" s="196">
        <f t="shared" si="5"/>
        <v>0</v>
      </c>
      <c r="CG11" s="196">
        <f t="shared" si="5"/>
        <v>0</v>
      </c>
    </row>
    <row r="12" spans="1:85" ht="15.6">
      <c r="A12" s="195" t="s">
        <v>149</v>
      </c>
      <c r="B12" s="196">
        <f>B10-B11</f>
        <v>0</v>
      </c>
      <c r="C12" s="196">
        <f t="shared" ref="C12:BN12" si="6">C10-C11</f>
        <v>0</v>
      </c>
      <c r="D12" s="196">
        <f t="shared" si="6"/>
        <v>0</v>
      </c>
      <c r="E12" s="196">
        <f t="shared" si="6"/>
        <v>0</v>
      </c>
      <c r="F12" s="196">
        <f t="shared" si="6"/>
        <v>0</v>
      </c>
      <c r="G12" s="196">
        <f t="shared" si="6"/>
        <v>0</v>
      </c>
      <c r="H12" s="196">
        <f t="shared" si="6"/>
        <v>0</v>
      </c>
      <c r="I12" s="196">
        <f t="shared" si="6"/>
        <v>0</v>
      </c>
      <c r="J12" s="196">
        <f t="shared" si="6"/>
        <v>0</v>
      </c>
      <c r="K12" s="196">
        <f t="shared" si="6"/>
        <v>0</v>
      </c>
      <c r="L12" s="196">
        <f t="shared" si="6"/>
        <v>0</v>
      </c>
      <c r="M12" s="196">
        <f t="shared" si="6"/>
        <v>0</v>
      </c>
      <c r="N12" s="196">
        <f t="shared" si="6"/>
        <v>0</v>
      </c>
      <c r="O12" s="196">
        <f t="shared" si="6"/>
        <v>0</v>
      </c>
      <c r="P12" s="196">
        <f t="shared" si="6"/>
        <v>0</v>
      </c>
      <c r="Q12" s="196">
        <f t="shared" si="6"/>
        <v>0</v>
      </c>
      <c r="R12" s="196">
        <f t="shared" si="6"/>
        <v>0</v>
      </c>
      <c r="S12" s="196">
        <f t="shared" si="6"/>
        <v>0</v>
      </c>
      <c r="T12" s="196">
        <f t="shared" si="6"/>
        <v>0</v>
      </c>
      <c r="U12" s="196">
        <f t="shared" si="6"/>
        <v>0</v>
      </c>
      <c r="V12" s="196">
        <f t="shared" si="6"/>
        <v>0</v>
      </c>
      <c r="W12" s="196">
        <f t="shared" si="6"/>
        <v>0</v>
      </c>
      <c r="X12" s="196">
        <f t="shared" si="6"/>
        <v>0</v>
      </c>
      <c r="Y12" s="196">
        <f t="shared" si="6"/>
        <v>0</v>
      </c>
      <c r="Z12" s="196">
        <f t="shared" si="6"/>
        <v>0</v>
      </c>
      <c r="AA12" s="196">
        <f t="shared" si="6"/>
        <v>0</v>
      </c>
      <c r="AB12" s="196">
        <f t="shared" si="6"/>
        <v>0</v>
      </c>
      <c r="AC12" s="196">
        <f t="shared" si="6"/>
        <v>0</v>
      </c>
      <c r="AD12" s="196">
        <f t="shared" si="6"/>
        <v>0</v>
      </c>
      <c r="AE12" s="196">
        <f t="shared" si="6"/>
        <v>0</v>
      </c>
      <c r="AF12" s="196">
        <f t="shared" si="6"/>
        <v>0</v>
      </c>
      <c r="AG12" s="196">
        <f t="shared" si="6"/>
        <v>0</v>
      </c>
      <c r="AH12" s="196">
        <f t="shared" si="6"/>
        <v>0</v>
      </c>
      <c r="AI12" s="196">
        <f t="shared" si="6"/>
        <v>0</v>
      </c>
      <c r="AJ12" s="196">
        <f t="shared" si="6"/>
        <v>0</v>
      </c>
      <c r="AK12" s="196">
        <f t="shared" si="6"/>
        <v>0</v>
      </c>
      <c r="AL12" s="196">
        <f t="shared" si="6"/>
        <v>0</v>
      </c>
      <c r="AM12" s="196">
        <f t="shared" si="6"/>
        <v>0</v>
      </c>
      <c r="AN12" s="196">
        <f t="shared" si="6"/>
        <v>0</v>
      </c>
      <c r="AO12" s="196">
        <f t="shared" si="6"/>
        <v>0</v>
      </c>
      <c r="AP12" s="196">
        <f t="shared" si="6"/>
        <v>0</v>
      </c>
      <c r="AQ12" s="196">
        <f t="shared" si="6"/>
        <v>0</v>
      </c>
      <c r="AR12" s="196">
        <f t="shared" si="6"/>
        <v>0</v>
      </c>
      <c r="AS12" s="196">
        <f t="shared" si="6"/>
        <v>0</v>
      </c>
      <c r="AT12" s="196">
        <f t="shared" si="6"/>
        <v>0</v>
      </c>
      <c r="AU12" s="196">
        <f t="shared" si="6"/>
        <v>0</v>
      </c>
      <c r="AV12" s="196">
        <f t="shared" si="6"/>
        <v>0</v>
      </c>
      <c r="AW12" s="196">
        <f t="shared" si="6"/>
        <v>0</v>
      </c>
      <c r="AX12" s="196">
        <f t="shared" si="6"/>
        <v>0</v>
      </c>
      <c r="AY12" s="196">
        <f t="shared" si="6"/>
        <v>0</v>
      </c>
      <c r="AZ12" s="196">
        <f t="shared" si="6"/>
        <v>0</v>
      </c>
      <c r="BA12" s="196">
        <f t="shared" si="6"/>
        <v>0</v>
      </c>
      <c r="BB12" s="196">
        <f t="shared" si="6"/>
        <v>0</v>
      </c>
      <c r="BC12" s="196">
        <f t="shared" si="6"/>
        <v>0</v>
      </c>
      <c r="BD12" s="196">
        <f t="shared" si="6"/>
        <v>0</v>
      </c>
      <c r="BE12" s="196">
        <f t="shared" si="6"/>
        <v>0</v>
      </c>
      <c r="BF12" s="196">
        <f t="shared" si="6"/>
        <v>0</v>
      </c>
      <c r="BG12" s="196">
        <f t="shared" si="6"/>
        <v>0</v>
      </c>
      <c r="BH12" s="196">
        <f t="shared" si="6"/>
        <v>0</v>
      </c>
      <c r="BI12" s="196">
        <f t="shared" si="6"/>
        <v>0</v>
      </c>
      <c r="BJ12" s="196">
        <f t="shared" si="6"/>
        <v>0</v>
      </c>
      <c r="BK12" s="196">
        <f t="shared" si="6"/>
        <v>0</v>
      </c>
      <c r="BL12" s="196">
        <f t="shared" si="6"/>
        <v>0</v>
      </c>
      <c r="BM12" s="196">
        <f t="shared" si="6"/>
        <v>0</v>
      </c>
      <c r="BN12" s="196">
        <f t="shared" si="6"/>
        <v>0</v>
      </c>
      <c r="BO12" s="196">
        <f t="shared" ref="BO12:CG12" si="7">BO10-BO11</f>
        <v>0</v>
      </c>
      <c r="BP12" s="196">
        <f t="shared" si="7"/>
        <v>0</v>
      </c>
      <c r="BQ12" s="196">
        <f t="shared" si="7"/>
        <v>0</v>
      </c>
      <c r="BR12" s="196">
        <f t="shared" si="7"/>
        <v>0</v>
      </c>
      <c r="BS12" s="196">
        <f t="shared" si="7"/>
        <v>0</v>
      </c>
      <c r="BT12" s="196">
        <f t="shared" si="7"/>
        <v>0</v>
      </c>
      <c r="BU12" s="196">
        <f t="shared" si="7"/>
        <v>0</v>
      </c>
      <c r="BV12" s="196">
        <f t="shared" si="7"/>
        <v>0</v>
      </c>
      <c r="BW12" s="196">
        <f t="shared" si="7"/>
        <v>0</v>
      </c>
      <c r="BX12" s="196">
        <f t="shared" si="7"/>
        <v>0</v>
      </c>
      <c r="BY12" s="196">
        <f t="shared" si="7"/>
        <v>0</v>
      </c>
      <c r="BZ12" s="196">
        <f t="shared" si="7"/>
        <v>0</v>
      </c>
      <c r="CA12" s="196">
        <f t="shared" si="7"/>
        <v>0</v>
      </c>
      <c r="CB12" s="196">
        <f t="shared" si="7"/>
        <v>0</v>
      </c>
      <c r="CC12" s="196">
        <f t="shared" si="7"/>
        <v>0</v>
      </c>
      <c r="CD12" s="196">
        <f t="shared" si="7"/>
        <v>0</v>
      </c>
      <c r="CE12" s="196">
        <f t="shared" si="7"/>
        <v>0</v>
      </c>
      <c r="CF12" s="196">
        <f t="shared" si="7"/>
        <v>0</v>
      </c>
      <c r="CG12" s="196">
        <f t="shared" si="7"/>
        <v>0</v>
      </c>
    </row>
    <row r="13" spans="1:85" ht="15.6">
      <c r="A13" s="195" t="s">
        <v>150</v>
      </c>
      <c r="B13" s="196">
        <f>B9-B12</f>
        <v>0</v>
      </c>
      <c r="C13" s="196">
        <f t="shared" ref="C13:BN13" si="8">C9-C12</f>
        <v>0</v>
      </c>
      <c r="D13" s="196">
        <f t="shared" si="8"/>
        <v>0</v>
      </c>
      <c r="E13" s="196">
        <f t="shared" si="8"/>
        <v>0</v>
      </c>
      <c r="F13" s="196">
        <f t="shared" si="8"/>
        <v>0</v>
      </c>
      <c r="G13" s="196">
        <f t="shared" si="8"/>
        <v>0</v>
      </c>
      <c r="H13" s="196">
        <f t="shared" si="8"/>
        <v>0</v>
      </c>
      <c r="I13" s="196">
        <f t="shared" si="8"/>
        <v>0</v>
      </c>
      <c r="J13" s="196">
        <f t="shared" si="8"/>
        <v>0</v>
      </c>
      <c r="K13" s="196">
        <f t="shared" si="8"/>
        <v>0</v>
      </c>
      <c r="L13" s="196">
        <f t="shared" si="8"/>
        <v>0</v>
      </c>
      <c r="M13" s="196">
        <f t="shared" si="8"/>
        <v>0</v>
      </c>
      <c r="N13" s="196">
        <f t="shared" si="8"/>
        <v>0</v>
      </c>
      <c r="O13" s="196">
        <f t="shared" si="8"/>
        <v>0</v>
      </c>
      <c r="P13" s="196">
        <f t="shared" si="8"/>
        <v>0</v>
      </c>
      <c r="Q13" s="196">
        <f t="shared" si="8"/>
        <v>0</v>
      </c>
      <c r="R13" s="196">
        <f t="shared" si="8"/>
        <v>0</v>
      </c>
      <c r="S13" s="196">
        <f t="shared" si="8"/>
        <v>0</v>
      </c>
      <c r="T13" s="196">
        <f t="shared" si="8"/>
        <v>0</v>
      </c>
      <c r="U13" s="196">
        <f t="shared" si="8"/>
        <v>0</v>
      </c>
      <c r="V13" s="196">
        <f t="shared" si="8"/>
        <v>0</v>
      </c>
      <c r="W13" s="196">
        <f t="shared" si="8"/>
        <v>0</v>
      </c>
      <c r="X13" s="196">
        <f t="shared" si="8"/>
        <v>0</v>
      </c>
      <c r="Y13" s="196">
        <f t="shared" si="8"/>
        <v>0</v>
      </c>
      <c r="Z13" s="196">
        <f t="shared" si="8"/>
        <v>0</v>
      </c>
      <c r="AA13" s="196">
        <f t="shared" si="8"/>
        <v>0</v>
      </c>
      <c r="AB13" s="196">
        <f t="shared" si="8"/>
        <v>0</v>
      </c>
      <c r="AC13" s="196">
        <f t="shared" si="8"/>
        <v>0</v>
      </c>
      <c r="AD13" s="196">
        <f t="shared" si="8"/>
        <v>0</v>
      </c>
      <c r="AE13" s="196">
        <f t="shared" si="8"/>
        <v>0</v>
      </c>
      <c r="AF13" s="196">
        <f t="shared" si="8"/>
        <v>0</v>
      </c>
      <c r="AG13" s="196">
        <f t="shared" si="8"/>
        <v>0</v>
      </c>
      <c r="AH13" s="196">
        <f t="shared" si="8"/>
        <v>0</v>
      </c>
      <c r="AI13" s="196">
        <f t="shared" si="8"/>
        <v>0</v>
      </c>
      <c r="AJ13" s="196">
        <f t="shared" si="8"/>
        <v>0</v>
      </c>
      <c r="AK13" s="196">
        <f t="shared" si="8"/>
        <v>0</v>
      </c>
      <c r="AL13" s="196">
        <f t="shared" si="8"/>
        <v>0</v>
      </c>
      <c r="AM13" s="196">
        <f t="shared" si="8"/>
        <v>0</v>
      </c>
      <c r="AN13" s="196">
        <f t="shared" si="8"/>
        <v>0</v>
      </c>
      <c r="AO13" s="196">
        <f t="shared" si="8"/>
        <v>0</v>
      </c>
      <c r="AP13" s="196">
        <f t="shared" si="8"/>
        <v>0</v>
      </c>
      <c r="AQ13" s="196">
        <f t="shared" si="8"/>
        <v>0</v>
      </c>
      <c r="AR13" s="196">
        <f t="shared" si="8"/>
        <v>0</v>
      </c>
      <c r="AS13" s="196">
        <f t="shared" si="8"/>
        <v>0</v>
      </c>
      <c r="AT13" s="196">
        <f t="shared" si="8"/>
        <v>0</v>
      </c>
      <c r="AU13" s="196">
        <f t="shared" si="8"/>
        <v>0</v>
      </c>
      <c r="AV13" s="196">
        <f t="shared" si="8"/>
        <v>0</v>
      </c>
      <c r="AW13" s="196">
        <f t="shared" si="8"/>
        <v>0</v>
      </c>
      <c r="AX13" s="196">
        <f t="shared" si="8"/>
        <v>0</v>
      </c>
      <c r="AY13" s="196">
        <f t="shared" si="8"/>
        <v>0</v>
      </c>
      <c r="AZ13" s="196">
        <f t="shared" si="8"/>
        <v>0</v>
      </c>
      <c r="BA13" s="196">
        <f t="shared" si="8"/>
        <v>0</v>
      </c>
      <c r="BB13" s="196">
        <f t="shared" si="8"/>
        <v>0</v>
      </c>
      <c r="BC13" s="196">
        <f t="shared" si="8"/>
        <v>0</v>
      </c>
      <c r="BD13" s="196">
        <f t="shared" si="8"/>
        <v>0</v>
      </c>
      <c r="BE13" s="196">
        <f t="shared" si="8"/>
        <v>0</v>
      </c>
      <c r="BF13" s="196">
        <f t="shared" si="8"/>
        <v>0</v>
      </c>
      <c r="BG13" s="196">
        <f t="shared" si="8"/>
        <v>0</v>
      </c>
      <c r="BH13" s="196">
        <f t="shared" si="8"/>
        <v>0</v>
      </c>
      <c r="BI13" s="196">
        <f t="shared" si="8"/>
        <v>0</v>
      </c>
      <c r="BJ13" s="196">
        <f t="shared" si="8"/>
        <v>0</v>
      </c>
      <c r="BK13" s="196">
        <f t="shared" si="8"/>
        <v>0</v>
      </c>
      <c r="BL13" s="196">
        <f t="shared" si="8"/>
        <v>0</v>
      </c>
      <c r="BM13" s="196">
        <f t="shared" si="8"/>
        <v>0</v>
      </c>
      <c r="BN13" s="196">
        <f t="shared" si="8"/>
        <v>0</v>
      </c>
      <c r="BO13" s="196">
        <f t="shared" ref="BO13:CG13" si="9">BO9-BO12</f>
        <v>0</v>
      </c>
      <c r="BP13" s="196">
        <f t="shared" si="9"/>
        <v>0</v>
      </c>
      <c r="BQ13" s="196">
        <f t="shared" si="9"/>
        <v>0</v>
      </c>
      <c r="BR13" s="196">
        <f t="shared" si="9"/>
        <v>0</v>
      </c>
      <c r="BS13" s="196">
        <f t="shared" si="9"/>
        <v>0</v>
      </c>
      <c r="BT13" s="196">
        <f t="shared" si="9"/>
        <v>0</v>
      </c>
      <c r="BU13" s="196">
        <f t="shared" si="9"/>
        <v>0</v>
      </c>
      <c r="BV13" s="196">
        <f t="shared" si="9"/>
        <v>0</v>
      </c>
      <c r="BW13" s="196">
        <f t="shared" si="9"/>
        <v>0</v>
      </c>
      <c r="BX13" s="196">
        <f t="shared" si="9"/>
        <v>0</v>
      </c>
      <c r="BY13" s="196">
        <f t="shared" si="9"/>
        <v>0</v>
      </c>
      <c r="BZ13" s="196">
        <f t="shared" si="9"/>
        <v>0</v>
      </c>
      <c r="CA13" s="196">
        <f t="shared" si="9"/>
        <v>0</v>
      </c>
      <c r="CB13" s="196">
        <f t="shared" si="9"/>
        <v>0</v>
      </c>
      <c r="CC13" s="196">
        <f t="shared" si="9"/>
        <v>0</v>
      </c>
      <c r="CD13" s="196">
        <f t="shared" si="9"/>
        <v>0</v>
      </c>
      <c r="CE13" s="196">
        <f t="shared" si="9"/>
        <v>0</v>
      </c>
      <c r="CF13" s="196">
        <f t="shared" si="9"/>
        <v>0</v>
      </c>
      <c r="CG13" s="196">
        <f t="shared" si="9"/>
        <v>0</v>
      </c>
    </row>
    <row r="16" spans="1:85" ht="17.399999999999999">
      <c r="A16" s="193" t="s">
        <v>151</v>
      </c>
      <c r="B16" s="194" t="s">
        <v>1</v>
      </c>
      <c r="C16" s="194" t="s">
        <v>2</v>
      </c>
      <c r="D16" s="194" t="s">
        <v>3</v>
      </c>
      <c r="E16" s="194" t="s">
        <v>4</v>
      </c>
      <c r="F16" s="194" t="s">
        <v>5</v>
      </c>
      <c r="G16" s="194" t="s">
        <v>152</v>
      </c>
      <c r="H16" s="194" t="s">
        <v>153</v>
      </c>
    </row>
    <row r="17" spans="1:8" ht="15.6">
      <c r="A17" s="195" t="s">
        <v>146</v>
      </c>
      <c r="B17" s="196">
        <f>B9</f>
        <v>0</v>
      </c>
      <c r="C17" s="196">
        <f>B21</f>
        <v>0</v>
      </c>
      <c r="D17" s="196">
        <f t="shared" ref="D17:H17" si="10">C21</f>
        <v>0</v>
      </c>
      <c r="E17" s="196">
        <f t="shared" si="10"/>
        <v>0</v>
      </c>
      <c r="F17" s="196">
        <f t="shared" si="10"/>
        <v>0</v>
      </c>
      <c r="G17" s="196">
        <f t="shared" si="10"/>
        <v>0</v>
      </c>
      <c r="H17" s="196">
        <f t="shared" si="10"/>
        <v>0</v>
      </c>
    </row>
    <row r="18" spans="1:8" ht="15.6">
      <c r="A18" s="195" t="s">
        <v>147</v>
      </c>
      <c r="B18" s="196">
        <f>SUM(B10:M10)</f>
        <v>0</v>
      </c>
      <c r="C18" s="196">
        <f>SUM(N10:Y10)</f>
        <v>0</v>
      </c>
      <c r="D18" s="196">
        <f>SUM(Z10:AK10)</f>
        <v>0</v>
      </c>
      <c r="E18" s="196">
        <f>SUM(AL10:AW10)</f>
        <v>0</v>
      </c>
      <c r="F18" s="196">
        <f>SUM(AX10:BI10)</f>
        <v>0</v>
      </c>
      <c r="G18" s="196">
        <f>SUM(BJ10:BU10)</f>
        <v>0</v>
      </c>
      <c r="H18" s="196">
        <f>SUM(BV10:CG10)</f>
        <v>0</v>
      </c>
    </row>
    <row r="19" spans="1:8" ht="15.6">
      <c r="A19" s="195" t="s">
        <v>148</v>
      </c>
      <c r="B19" s="196">
        <f t="shared" ref="B19:B20" si="11">SUM(B11:M11)</f>
        <v>0</v>
      </c>
      <c r="C19" s="196">
        <f t="shared" ref="C19:C20" si="12">SUM(N11:Y11)</f>
        <v>0</v>
      </c>
      <c r="D19" s="196">
        <f t="shared" ref="D19:D20" si="13">SUM(Z11:AK11)</f>
        <v>0</v>
      </c>
      <c r="E19" s="196">
        <f t="shared" ref="E19:E20" si="14">SUM(AL11:AW11)</f>
        <v>0</v>
      </c>
      <c r="F19" s="196">
        <f t="shared" ref="F19:F20" si="15">SUM(AX11:BI11)</f>
        <v>0</v>
      </c>
      <c r="G19" s="196">
        <f>SUM(BJ11:BU11)</f>
        <v>0</v>
      </c>
      <c r="H19" s="196">
        <f>SUM(BV11:CG11)</f>
        <v>0</v>
      </c>
    </row>
    <row r="20" spans="1:8" ht="15.6">
      <c r="A20" s="195" t="s">
        <v>149</v>
      </c>
      <c r="B20" s="196">
        <f t="shared" si="11"/>
        <v>0</v>
      </c>
      <c r="C20" s="196">
        <f t="shared" si="12"/>
        <v>0</v>
      </c>
      <c r="D20" s="196">
        <f t="shared" si="13"/>
        <v>0</v>
      </c>
      <c r="E20" s="196">
        <f t="shared" si="14"/>
        <v>0</v>
      </c>
      <c r="F20" s="196">
        <f t="shared" si="15"/>
        <v>0</v>
      </c>
      <c r="G20" s="196">
        <f>SUM(BJ12:BU12)</f>
        <v>0</v>
      </c>
      <c r="H20" s="196">
        <f>SUM(BV12:CG12)</f>
        <v>0</v>
      </c>
    </row>
    <row r="21" spans="1:8" ht="15.6">
      <c r="A21" s="195" t="s">
        <v>150</v>
      </c>
      <c r="B21" s="196">
        <f>B17-B20</f>
        <v>0</v>
      </c>
      <c r="C21" s="196">
        <f t="shared" ref="C21:H21" si="16">C17-C20</f>
        <v>0</v>
      </c>
      <c r="D21" s="196">
        <f t="shared" si="16"/>
        <v>0</v>
      </c>
      <c r="E21" s="196">
        <f t="shared" si="16"/>
        <v>0</v>
      </c>
      <c r="F21" s="196">
        <f t="shared" si="16"/>
        <v>0</v>
      </c>
      <c r="G21" s="196">
        <f t="shared" si="16"/>
        <v>0</v>
      </c>
      <c r="H21" s="196">
        <f t="shared" si="16"/>
        <v>0</v>
      </c>
    </row>
    <row r="22" spans="1:8">
      <c r="B22" s="197"/>
      <c r="C22" s="197"/>
      <c r="D22" s="197"/>
      <c r="E22" s="197"/>
      <c r="F22" s="197"/>
      <c r="G22" s="197"/>
      <c r="H22" s="197"/>
    </row>
    <row r="23" spans="1:8">
      <c r="B23" s="197"/>
      <c r="C23" s="197"/>
      <c r="D23" s="197"/>
      <c r="E23" s="197"/>
      <c r="F23" s="197"/>
      <c r="G23" s="197"/>
      <c r="H23" s="19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/>
  <dimension ref="A2:E29"/>
  <sheetViews>
    <sheetView zoomScale="85" zoomScaleNormal="85" workbookViewId="0">
      <selection activeCell="A2" sqref="A2"/>
    </sheetView>
  </sheetViews>
  <sheetFormatPr defaultColWidth="11.109375" defaultRowHeight="15.6"/>
  <cols>
    <col min="1" max="1" width="53.5546875" style="69" customWidth="1"/>
    <col min="2" max="2" width="19.88671875" style="183" customWidth="1"/>
    <col min="3" max="16384" width="11.109375" style="69"/>
  </cols>
  <sheetData>
    <row r="2" spans="1:5" s="147" customFormat="1" ht="17.399999999999999">
      <c r="A2" s="184" t="s">
        <v>154</v>
      </c>
      <c r="B2" s="185" t="s">
        <v>155</v>
      </c>
    </row>
    <row r="3" spans="1:5">
      <c r="A3" s="94" t="s">
        <v>156</v>
      </c>
      <c r="B3" s="118"/>
    </row>
    <row r="4" spans="1:5">
      <c r="A4" s="93" t="str">
        <f>Assumptions!A20</f>
        <v>Metal Fabrication Shop Acquisition</v>
      </c>
      <c r="B4" s="186">
        <f>Assumptions!B20</f>
        <v>2000000</v>
      </c>
      <c r="E4" s="187"/>
    </row>
    <row r="5" spans="1:5">
      <c r="A5" s="93" t="str">
        <f>Assumptions!A21</f>
        <v>R&amp;D Surveillance System</v>
      </c>
      <c r="B5" s="186">
        <f>Assumptions!B21</f>
        <v>1500000</v>
      </c>
      <c r="E5" s="187"/>
    </row>
    <row r="6" spans="1:5">
      <c r="A6" s="93" t="str">
        <f>Assumptions!A22</f>
        <v>Shop Upgrades</v>
      </c>
      <c r="B6" s="186">
        <f>Assumptions!B22</f>
        <v>950000</v>
      </c>
      <c r="E6" s="187"/>
    </row>
    <row r="7" spans="1:5">
      <c r="A7" s="93"/>
      <c r="B7" s="186"/>
    </row>
    <row r="8" spans="1:5">
      <c r="A8" s="94" t="s">
        <v>157</v>
      </c>
      <c r="B8" s="186"/>
    </row>
    <row r="9" spans="1:5">
      <c r="A9" s="93" t="s">
        <v>158</v>
      </c>
      <c r="B9" s="186">
        <f>Assumptions!C12-SUM(Assumptions!B20:B25,Assumptions!B36:B41)</f>
        <v>4150000</v>
      </c>
    </row>
    <row r="10" spans="1:5">
      <c r="A10" s="93"/>
      <c r="B10" s="186"/>
    </row>
    <row r="11" spans="1:5">
      <c r="A11" s="94" t="s">
        <v>159</v>
      </c>
      <c r="B11" s="186"/>
      <c r="E11" s="187"/>
    </row>
    <row r="12" spans="1:5">
      <c r="A12" s="93" t="str">
        <f>Assumptions!A36</f>
        <v>Regulatory Compliance &amp; Certifications</v>
      </c>
      <c r="B12" s="186">
        <f>Assumptions!B36</f>
        <v>250000</v>
      </c>
    </row>
    <row r="13" spans="1:5">
      <c r="A13" s="93" t="str">
        <f>Assumptions!A37</f>
        <v>Marketing &amp; Advertising Campaigns</v>
      </c>
      <c r="B13" s="186">
        <f>Assumptions!B37</f>
        <v>300000</v>
      </c>
      <c r="E13" s="187"/>
    </row>
    <row r="14" spans="1:5">
      <c r="A14" s="93" t="str">
        <f>Assumptions!A38</f>
        <v>R&amp;D &amp; Testing</v>
      </c>
      <c r="B14" s="186">
        <f>Assumptions!B38</f>
        <v>500000</v>
      </c>
      <c r="E14" s="187"/>
    </row>
    <row r="15" spans="1:5">
      <c r="A15" s="93" t="str">
        <f>Assumptions!A39</f>
        <v>Payroll Reserves</v>
      </c>
      <c r="B15" s="186">
        <f>Assumptions!B39</f>
        <v>300000</v>
      </c>
      <c r="E15" s="187"/>
    </row>
    <row r="16" spans="1:5">
      <c r="A16" s="93" t="str">
        <f>Assumptions!A40</f>
        <v>Miscellaneous Expenses</v>
      </c>
      <c r="B16" s="186">
        <f>Assumptions!B40</f>
        <v>50000</v>
      </c>
      <c r="E16" s="187"/>
    </row>
    <row r="17" spans="1:5">
      <c r="A17" s="93"/>
      <c r="B17" s="186"/>
    </row>
    <row r="18" spans="1:5">
      <c r="A18" s="94" t="s">
        <v>160</v>
      </c>
      <c r="B18" s="97">
        <f>SUM(B4:B9)</f>
        <v>8600000</v>
      </c>
    </row>
    <row r="19" spans="1:5">
      <c r="A19" s="94" t="s">
        <v>161</v>
      </c>
      <c r="B19" s="97">
        <f>SUM(B12:B16)</f>
        <v>1400000</v>
      </c>
      <c r="E19" s="187"/>
    </row>
    <row r="20" spans="1:5">
      <c r="A20" s="94" t="s">
        <v>162</v>
      </c>
      <c r="B20" s="95">
        <f>SUM(B18:B19)</f>
        <v>10000000</v>
      </c>
    </row>
    <row r="21" spans="1:5" ht="36" customHeight="1">
      <c r="B21" s="188"/>
      <c r="E21" s="187"/>
    </row>
    <row r="22" spans="1:5" ht="17.399999999999999">
      <c r="A22" s="184" t="s">
        <v>163</v>
      </c>
      <c r="B22" s="185"/>
    </row>
    <row r="23" spans="1:5">
      <c r="A23" s="94" t="s">
        <v>162</v>
      </c>
      <c r="B23" s="118">
        <f>B20</f>
        <v>10000000</v>
      </c>
    </row>
    <row r="24" spans="1:5">
      <c r="A24" s="93"/>
      <c r="B24" s="189"/>
    </row>
    <row r="25" spans="1:5">
      <c r="A25" s="93" t="s">
        <v>164</v>
      </c>
      <c r="B25" s="186">
        <f>Assumptions!C14</f>
        <v>0</v>
      </c>
    </row>
    <row r="26" spans="1:5">
      <c r="A26" s="93" t="s">
        <v>165</v>
      </c>
      <c r="B26" s="186">
        <f>Assumptions!C15</f>
        <v>10000000</v>
      </c>
    </row>
    <row r="27" spans="1:5">
      <c r="A27" s="93"/>
      <c r="B27" s="189"/>
    </row>
    <row r="28" spans="1:5">
      <c r="A28" s="93" t="s">
        <v>166</v>
      </c>
      <c r="B28" s="190">
        <f>B25/B23</f>
        <v>0</v>
      </c>
    </row>
    <row r="29" spans="1:5">
      <c r="A29" s="93" t="s">
        <v>167</v>
      </c>
      <c r="B29" s="190">
        <f>B26/B23</f>
        <v>1</v>
      </c>
    </row>
  </sheetData>
  <pageMargins left="0.7" right="0.7" top="0.75" bottom="0.75" header="0.3" footer="0.3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/>
  <dimension ref="A2:BI35"/>
  <sheetViews>
    <sheetView zoomScale="85" zoomScaleNormal="85" workbookViewId="0">
      <selection activeCell="A2" sqref="A2"/>
    </sheetView>
  </sheetViews>
  <sheetFormatPr defaultColWidth="9.109375" defaultRowHeight="15.6"/>
  <cols>
    <col min="1" max="1" width="48.5546875" style="151" customWidth="1"/>
    <col min="2" max="2" width="15.6640625" style="173" customWidth="1"/>
    <col min="3" max="3" width="15.109375" style="173" customWidth="1"/>
    <col min="4" max="5" width="15.109375" style="149" customWidth="1"/>
    <col min="6" max="6" width="14.6640625" style="69" customWidth="1"/>
    <col min="7" max="61" width="15" style="69" customWidth="1"/>
    <col min="62" max="16384" width="9.109375" style="69"/>
  </cols>
  <sheetData>
    <row r="2" spans="1:61" s="147" customFormat="1" ht="17.399999999999999">
      <c r="A2" s="174" t="s">
        <v>168</v>
      </c>
      <c r="B2" s="171" t="s">
        <v>15</v>
      </c>
      <c r="C2" s="171" t="s">
        <v>41</v>
      </c>
      <c r="D2" s="171" t="s">
        <v>42</v>
      </c>
      <c r="E2" s="171" t="s">
        <v>43</v>
      </c>
      <c r="F2" s="171" t="s">
        <v>44</v>
      </c>
      <c r="G2" s="171" t="s">
        <v>45</v>
      </c>
      <c r="H2" s="171" t="s">
        <v>46</v>
      </c>
      <c r="I2" s="171" t="s">
        <v>47</v>
      </c>
      <c r="J2" s="171" t="s">
        <v>48</v>
      </c>
      <c r="K2" s="171" t="s">
        <v>49</v>
      </c>
      <c r="L2" s="171" t="s">
        <v>50</v>
      </c>
      <c r="M2" s="171" t="s">
        <v>51</v>
      </c>
      <c r="N2" s="171" t="s">
        <v>20</v>
      </c>
      <c r="O2" s="171" t="s">
        <v>52</v>
      </c>
      <c r="P2" s="171" t="s">
        <v>53</v>
      </c>
      <c r="Q2" s="171" t="s">
        <v>54</v>
      </c>
      <c r="R2" s="171" t="s">
        <v>55</v>
      </c>
      <c r="S2" s="171" t="s">
        <v>56</v>
      </c>
      <c r="T2" s="171" t="s">
        <v>57</v>
      </c>
      <c r="U2" s="171" t="s">
        <v>58</v>
      </c>
      <c r="V2" s="171" t="s">
        <v>59</v>
      </c>
      <c r="W2" s="171" t="s">
        <v>60</v>
      </c>
      <c r="X2" s="171" t="s">
        <v>61</v>
      </c>
      <c r="Y2" s="171" t="s">
        <v>62</v>
      </c>
      <c r="Z2" s="171" t="s">
        <v>63</v>
      </c>
      <c r="AA2" s="171" t="s">
        <v>64</v>
      </c>
      <c r="AB2" s="171" t="s">
        <v>65</v>
      </c>
      <c r="AC2" s="171" t="s">
        <v>66</v>
      </c>
      <c r="AD2" s="171" t="s">
        <v>67</v>
      </c>
      <c r="AE2" s="171" t="s">
        <v>68</v>
      </c>
      <c r="AF2" s="171" t="s">
        <v>69</v>
      </c>
      <c r="AG2" s="171" t="s">
        <v>70</v>
      </c>
      <c r="AH2" s="171" t="s">
        <v>71</v>
      </c>
      <c r="AI2" s="171" t="s">
        <v>72</v>
      </c>
      <c r="AJ2" s="171" t="s">
        <v>73</v>
      </c>
      <c r="AK2" s="171" t="s">
        <v>74</v>
      </c>
      <c r="AL2" s="171" t="s">
        <v>75</v>
      </c>
      <c r="AM2" s="171" t="s">
        <v>76</v>
      </c>
      <c r="AN2" s="171" t="s">
        <v>77</v>
      </c>
      <c r="AO2" s="171" t="s">
        <v>78</v>
      </c>
      <c r="AP2" s="171" t="s">
        <v>79</v>
      </c>
      <c r="AQ2" s="171" t="s">
        <v>80</v>
      </c>
      <c r="AR2" s="171" t="s">
        <v>81</v>
      </c>
      <c r="AS2" s="171" t="s">
        <v>82</v>
      </c>
      <c r="AT2" s="171" t="s">
        <v>83</v>
      </c>
      <c r="AU2" s="171" t="s">
        <v>84</v>
      </c>
      <c r="AV2" s="171" t="s">
        <v>85</v>
      </c>
      <c r="AW2" s="171" t="s">
        <v>86</v>
      </c>
      <c r="AX2" s="171" t="s">
        <v>87</v>
      </c>
      <c r="AY2" s="171" t="s">
        <v>88</v>
      </c>
      <c r="AZ2" s="171" t="s">
        <v>89</v>
      </c>
      <c r="BA2" s="171" t="s">
        <v>90</v>
      </c>
      <c r="BB2" s="171" t="s">
        <v>91</v>
      </c>
      <c r="BC2" s="171" t="s">
        <v>92</v>
      </c>
      <c r="BD2" s="171" t="s">
        <v>93</v>
      </c>
      <c r="BE2" s="171" t="s">
        <v>94</v>
      </c>
      <c r="BF2" s="171" t="s">
        <v>95</v>
      </c>
      <c r="BG2" s="171" t="s">
        <v>96</v>
      </c>
      <c r="BH2" s="171" t="s">
        <v>97</v>
      </c>
      <c r="BI2" s="171" t="s">
        <v>98</v>
      </c>
    </row>
    <row r="3" spans="1:61">
      <c r="A3" s="175" t="s">
        <v>169</v>
      </c>
      <c r="B3" s="176">
        <f>Payroll!B34</f>
        <v>79252.75</v>
      </c>
      <c r="C3" s="176">
        <f>Payroll!C34</f>
        <v>79252.75</v>
      </c>
      <c r="D3" s="176">
        <f>Payroll!D34</f>
        <v>79252.75</v>
      </c>
      <c r="E3" s="176">
        <f>Payroll!E34</f>
        <v>79252.75</v>
      </c>
      <c r="F3" s="176">
        <f>Payroll!F34</f>
        <v>79252.75</v>
      </c>
      <c r="G3" s="176">
        <f>Payroll!G34</f>
        <v>79252.75</v>
      </c>
      <c r="H3" s="176">
        <f>Payroll!H34</f>
        <v>79252.75</v>
      </c>
      <c r="I3" s="176">
        <f>Payroll!I34</f>
        <v>79252.75</v>
      </c>
      <c r="J3" s="176">
        <f>Payroll!J34</f>
        <v>79252.75</v>
      </c>
      <c r="K3" s="176">
        <f>Payroll!K34</f>
        <v>79252.75</v>
      </c>
      <c r="L3" s="176">
        <f>Payroll!L34</f>
        <v>79252.75</v>
      </c>
      <c r="M3" s="176">
        <f>Payroll!M34</f>
        <v>79252.75</v>
      </c>
      <c r="N3" s="176">
        <f>Payroll!N34</f>
        <v>96325.991666666683</v>
      </c>
      <c r="O3" s="176">
        <f>Payroll!O34</f>
        <v>87569.083333333343</v>
      </c>
      <c r="P3" s="176">
        <f>Payroll!P34</f>
        <v>87569.083333333343</v>
      </c>
      <c r="Q3" s="176">
        <f>Payroll!Q34</f>
        <v>87569.083333333343</v>
      </c>
      <c r="R3" s="176">
        <f>Payroll!R34</f>
        <v>87569.083333333343</v>
      </c>
      <c r="S3" s="176">
        <f>Payroll!S34</f>
        <v>87569.083333333343</v>
      </c>
      <c r="T3" s="176">
        <f>Payroll!T34</f>
        <v>87569.083333333343</v>
      </c>
      <c r="U3" s="176">
        <f>Payroll!U34</f>
        <v>87569.083333333343</v>
      </c>
      <c r="V3" s="176">
        <f>Payroll!V34</f>
        <v>87569.083333333343</v>
      </c>
      <c r="W3" s="176">
        <f>Payroll!W34</f>
        <v>87569.083333333343</v>
      </c>
      <c r="X3" s="176">
        <f>Payroll!X34</f>
        <v>87569.083333333343</v>
      </c>
      <c r="Y3" s="176">
        <f>Payroll!Y34</f>
        <v>87569.083333333343</v>
      </c>
      <c r="Z3" s="176">
        <f>Payroll!Z34</f>
        <v>122273.82750000003</v>
      </c>
      <c r="AA3" s="176">
        <f>Payroll!AA34</f>
        <v>101052.75</v>
      </c>
      <c r="AB3" s="176">
        <f>Payroll!AB34</f>
        <v>101052.75</v>
      </c>
      <c r="AC3" s="176">
        <f>Payroll!AC34</f>
        <v>101052.75</v>
      </c>
      <c r="AD3" s="176">
        <f>Payroll!AD34</f>
        <v>101052.75</v>
      </c>
      <c r="AE3" s="176">
        <f>Payroll!AE34</f>
        <v>101052.75</v>
      </c>
      <c r="AF3" s="176">
        <f>Payroll!AF34</f>
        <v>101052.75</v>
      </c>
      <c r="AG3" s="176">
        <f>Payroll!AG34</f>
        <v>101052.75</v>
      </c>
      <c r="AH3" s="176">
        <f>Payroll!AH34</f>
        <v>101052.75</v>
      </c>
      <c r="AI3" s="176">
        <f>Payroll!AI34</f>
        <v>101052.75</v>
      </c>
      <c r="AJ3" s="176">
        <f>Payroll!AJ34</f>
        <v>101052.75</v>
      </c>
      <c r="AK3" s="176">
        <f>Payroll!AK34</f>
        <v>101052.75</v>
      </c>
      <c r="AL3" s="176">
        <f>Payroll!AL34</f>
        <v>140035.73008333339</v>
      </c>
      <c r="AM3" s="176">
        <f>Payroll!AM34</f>
        <v>105210.91666666666</v>
      </c>
      <c r="AN3" s="176">
        <f>Payroll!AN34</f>
        <v>105210.91666666666</v>
      </c>
      <c r="AO3" s="176">
        <f>Payroll!AO34</f>
        <v>105210.91666666666</v>
      </c>
      <c r="AP3" s="176">
        <f>Payroll!AP34</f>
        <v>105210.91666666666</v>
      </c>
      <c r="AQ3" s="176">
        <f>Payroll!AQ34</f>
        <v>105210.91666666666</v>
      </c>
      <c r="AR3" s="176">
        <f>Payroll!AR34</f>
        <v>105210.91666666666</v>
      </c>
      <c r="AS3" s="176">
        <f>Payroll!AS34</f>
        <v>105210.91666666666</v>
      </c>
      <c r="AT3" s="176">
        <f>Payroll!AT34</f>
        <v>105210.91666666666</v>
      </c>
      <c r="AU3" s="176">
        <f>Payroll!AU34</f>
        <v>105210.91666666666</v>
      </c>
      <c r="AV3" s="176">
        <f>Payroll!AV34</f>
        <v>105210.91666666666</v>
      </c>
      <c r="AW3" s="176">
        <f>Payroll!AW34</f>
        <v>105210.91666666666</v>
      </c>
      <c r="AX3" s="176">
        <f>Payroll!AX34</f>
        <v>160127.27490833341</v>
      </c>
      <c r="AY3" s="176">
        <f>Payroll!AY34</f>
        <v>109369.08333333333</v>
      </c>
      <c r="AZ3" s="176">
        <f>Payroll!AZ34</f>
        <v>109369.08333333333</v>
      </c>
      <c r="BA3" s="176">
        <f>Payroll!BA34</f>
        <v>109369.08333333333</v>
      </c>
      <c r="BB3" s="176">
        <f>Payroll!BB34</f>
        <v>109369.08333333333</v>
      </c>
      <c r="BC3" s="176">
        <f>Payroll!BC34</f>
        <v>109369.08333333333</v>
      </c>
      <c r="BD3" s="176">
        <f>Payroll!BD34</f>
        <v>109369.08333333333</v>
      </c>
      <c r="BE3" s="176">
        <f>Payroll!BE34</f>
        <v>109369.08333333333</v>
      </c>
      <c r="BF3" s="176">
        <f>Payroll!BF34</f>
        <v>109369.08333333333</v>
      </c>
      <c r="BG3" s="176">
        <f>Payroll!BG34</f>
        <v>109369.08333333333</v>
      </c>
      <c r="BH3" s="176">
        <f>Payroll!BH34</f>
        <v>109369.08333333333</v>
      </c>
      <c r="BI3" s="176">
        <f>Payroll!BI34</f>
        <v>109369.08333333333</v>
      </c>
    </row>
    <row r="4" spans="1:61" ht="13.5" customHeight="1">
      <c r="A4" s="175" t="str">
        <f>Assumptions!A68</f>
        <v>Rent &amp; Utilities</v>
      </c>
      <c r="B4" s="176">
        <f>Assumptions!B68</f>
        <v>16000</v>
      </c>
      <c r="C4" s="176">
        <f t="shared" ref="C4" si="0">B4</f>
        <v>16000</v>
      </c>
      <c r="D4" s="176">
        <f t="shared" ref="D4" si="1">C4</f>
        <v>16000</v>
      </c>
      <c r="E4" s="176">
        <f t="shared" ref="E4" si="2">D4</f>
        <v>16000</v>
      </c>
      <c r="F4" s="176">
        <f t="shared" ref="F4" si="3">E4</f>
        <v>16000</v>
      </c>
      <c r="G4" s="176">
        <f t="shared" ref="G4" si="4">F4</f>
        <v>16000</v>
      </c>
      <c r="H4" s="176">
        <f t="shared" ref="H4" si="5">G4</f>
        <v>16000</v>
      </c>
      <c r="I4" s="176">
        <f t="shared" ref="I4" si="6">H4</f>
        <v>16000</v>
      </c>
      <c r="J4" s="176">
        <f t="shared" ref="J4" si="7">I4</f>
        <v>16000</v>
      </c>
      <c r="K4" s="176">
        <f t="shared" ref="K4" si="8">J4</f>
        <v>16000</v>
      </c>
      <c r="L4" s="176">
        <f t="shared" ref="L4" si="9">K4</f>
        <v>16000</v>
      </c>
      <c r="M4" s="176">
        <f t="shared" ref="M4" si="10">L4</f>
        <v>16000</v>
      </c>
      <c r="N4" s="176">
        <f>M4*(1+Assumptions!$C$5)</f>
        <v>16480</v>
      </c>
      <c r="O4" s="176">
        <f t="shared" ref="O4" si="11">N4</f>
        <v>16480</v>
      </c>
      <c r="P4" s="176">
        <f t="shared" ref="P4" si="12">O4</f>
        <v>16480</v>
      </c>
      <c r="Q4" s="176">
        <f t="shared" ref="Q4" si="13">P4</f>
        <v>16480</v>
      </c>
      <c r="R4" s="176">
        <f t="shared" ref="R4" si="14">Q4</f>
        <v>16480</v>
      </c>
      <c r="S4" s="176">
        <f t="shared" ref="S4" si="15">R4</f>
        <v>16480</v>
      </c>
      <c r="T4" s="176">
        <f t="shared" ref="T4" si="16">S4</f>
        <v>16480</v>
      </c>
      <c r="U4" s="176">
        <f t="shared" ref="U4" si="17">T4</f>
        <v>16480</v>
      </c>
      <c r="V4" s="176">
        <f t="shared" ref="V4" si="18">U4</f>
        <v>16480</v>
      </c>
      <c r="W4" s="176">
        <f t="shared" ref="W4" si="19">V4</f>
        <v>16480</v>
      </c>
      <c r="X4" s="176">
        <f t="shared" ref="X4" si="20">W4</f>
        <v>16480</v>
      </c>
      <c r="Y4" s="176">
        <f t="shared" ref="Y4" si="21">X4</f>
        <v>16480</v>
      </c>
      <c r="Z4" s="176">
        <f>Y4*(1+Assumptions!$D$5)</f>
        <v>16974.400000000001</v>
      </c>
      <c r="AA4" s="176">
        <f t="shared" ref="AA4" si="22">Z4</f>
        <v>16974.400000000001</v>
      </c>
      <c r="AB4" s="176">
        <f t="shared" ref="AB4" si="23">AA4</f>
        <v>16974.400000000001</v>
      </c>
      <c r="AC4" s="176">
        <f t="shared" ref="AC4" si="24">AB4</f>
        <v>16974.400000000001</v>
      </c>
      <c r="AD4" s="176">
        <f t="shared" ref="AD4" si="25">AC4</f>
        <v>16974.400000000001</v>
      </c>
      <c r="AE4" s="176">
        <f t="shared" ref="AE4" si="26">AD4</f>
        <v>16974.400000000001</v>
      </c>
      <c r="AF4" s="176">
        <f t="shared" ref="AF4" si="27">AE4</f>
        <v>16974.400000000001</v>
      </c>
      <c r="AG4" s="176">
        <f t="shared" ref="AG4" si="28">AF4</f>
        <v>16974.400000000001</v>
      </c>
      <c r="AH4" s="176">
        <f t="shared" ref="AH4" si="29">AG4</f>
        <v>16974.400000000001</v>
      </c>
      <c r="AI4" s="176">
        <f t="shared" ref="AI4" si="30">AH4</f>
        <v>16974.400000000001</v>
      </c>
      <c r="AJ4" s="176">
        <f t="shared" ref="AJ4" si="31">AI4</f>
        <v>16974.400000000001</v>
      </c>
      <c r="AK4" s="176">
        <f t="shared" ref="AK4" si="32">AJ4</f>
        <v>16974.400000000001</v>
      </c>
      <c r="AL4" s="176">
        <f>AK4*(1+Assumptions!$E$5)</f>
        <v>17483.632000000001</v>
      </c>
      <c r="AM4" s="176">
        <f t="shared" ref="AM4" si="33">AL4</f>
        <v>17483.632000000001</v>
      </c>
      <c r="AN4" s="176">
        <f t="shared" ref="AN4" si="34">AM4</f>
        <v>17483.632000000001</v>
      </c>
      <c r="AO4" s="176">
        <f t="shared" ref="AO4" si="35">AN4</f>
        <v>17483.632000000001</v>
      </c>
      <c r="AP4" s="176">
        <f t="shared" ref="AP4" si="36">AO4</f>
        <v>17483.632000000001</v>
      </c>
      <c r="AQ4" s="176">
        <f t="shared" ref="AQ4" si="37">AP4</f>
        <v>17483.632000000001</v>
      </c>
      <c r="AR4" s="176">
        <f t="shared" ref="AR4" si="38">AQ4</f>
        <v>17483.632000000001</v>
      </c>
      <c r="AS4" s="176">
        <f t="shared" ref="AS4" si="39">AR4</f>
        <v>17483.632000000001</v>
      </c>
      <c r="AT4" s="176">
        <f t="shared" ref="AT4" si="40">AS4</f>
        <v>17483.632000000001</v>
      </c>
      <c r="AU4" s="176">
        <f t="shared" ref="AU4" si="41">AT4</f>
        <v>17483.632000000001</v>
      </c>
      <c r="AV4" s="176">
        <f t="shared" ref="AV4" si="42">AU4</f>
        <v>17483.632000000001</v>
      </c>
      <c r="AW4" s="176">
        <f t="shared" ref="AW4" si="43">AV4</f>
        <v>17483.632000000001</v>
      </c>
      <c r="AX4" s="176">
        <f>AW4*(1+Assumptions!$F$5)</f>
        <v>18008.140960000001</v>
      </c>
      <c r="AY4" s="176">
        <f t="shared" ref="AY4" si="44">AX4</f>
        <v>18008.140960000001</v>
      </c>
      <c r="AZ4" s="176">
        <f t="shared" ref="AZ4" si="45">AY4</f>
        <v>18008.140960000001</v>
      </c>
      <c r="BA4" s="176">
        <f t="shared" ref="BA4" si="46">AZ4</f>
        <v>18008.140960000001</v>
      </c>
      <c r="BB4" s="176">
        <f t="shared" ref="BB4" si="47">BA4</f>
        <v>18008.140960000001</v>
      </c>
      <c r="BC4" s="176">
        <f t="shared" ref="BC4" si="48">BB4</f>
        <v>18008.140960000001</v>
      </c>
      <c r="BD4" s="176">
        <f t="shared" ref="BD4" si="49">BC4</f>
        <v>18008.140960000001</v>
      </c>
      <c r="BE4" s="176">
        <f t="shared" ref="BE4" si="50">BD4</f>
        <v>18008.140960000001</v>
      </c>
      <c r="BF4" s="176">
        <f t="shared" ref="BF4" si="51">BE4</f>
        <v>18008.140960000001</v>
      </c>
      <c r="BG4" s="176">
        <f t="shared" ref="BG4" si="52">BF4</f>
        <v>18008.140960000001</v>
      </c>
      <c r="BH4" s="176">
        <f t="shared" ref="BH4" si="53">BG4</f>
        <v>18008.140960000001</v>
      </c>
      <c r="BI4" s="176">
        <f t="shared" ref="BI4" si="54">BH4</f>
        <v>18008.140960000001</v>
      </c>
    </row>
    <row r="5" spans="1:61">
      <c r="A5" s="175" t="str">
        <f>Assumptions!A69</f>
        <v>Regulatory &amp; Compliance</v>
      </c>
      <c r="B5" s="176">
        <f>Assumptions!B69</f>
        <v>9100</v>
      </c>
      <c r="C5" s="176">
        <f t="shared" ref="C5" si="55">B5</f>
        <v>9100</v>
      </c>
      <c r="D5" s="176">
        <f t="shared" ref="D5" si="56">C5</f>
        <v>9100</v>
      </c>
      <c r="E5" s="176">
        <f t="shared" ref="E5" si="57">D5</f>
        <v>9100</v>
      </c>
      <c r="F5" s="176">
        <f t="shared" ref="F5" si="58">E5</f>
        <v>9100</v>
      </c>
      <c r="G5" s="176">
        <f t="shared" ref="G5" si="59">F5</f>
        <v>9100</v>
      </c>
      <c r="H5" s="176">
        <f t="shared" ref="H5" si="60">G5</f>
        <v>9100</v>
      </c>
      <c r="I5" s="176">
        <f t="shared" ref="I5" si="61">H5</f>
        <v>9100</v>
      </c>
      <c r="J5" s="176">
        <f t="shared" ref="J5" si="62">I5</f>
        <v>9100</v>
      </c>
      <c r="K5" s="176">
        <f t="shared" ref="K5" si="63">J5</f>
        <v>9100</v>
      </c>
      <c r="L5" s="176">
        <f t="shared" ref="L5" si="64">K5</f>
        <v>9100</v>
      </c>
      <c r="M5" s="176">
        <f t="shared" ref="M5" si="65">L5</f>
        <v>9100</v>
      </c>
      <c r="N5" s="176">
        <f>M5*(1+Assumptions!$C$7)</f>
        <v>18200</v>
      </c>
      <c r="O5" s="176">
        <f t="shared" ref="O5:O6" si="66">N5</f>
        <v>18200</v>
      </c>
      <c r="P5" s="176">
        <f t="shared" ref="P5:P6" si="67">O5</f>
        <v>18200</v>
      </c>
      <c r="Q5" s="176">
        <f t="shared" ref="Q5:Q6" si="68">P5</f>
        <v>18200</v>
      </c>
      <c r="R5" s="176">
        <f t="shared" ref="R5:R6" si="69">Q5</f>
        <v>18200</v>
      </c>
      <c r="S5" s="176">
        <f t="shared" ref="S5:S6" si="70">R5</f>
        <v>18200</v>
      </c>
      <c r="T5" s="176">
        <f t="shared" ref="T5:T6" si="71">S5</f>
        <v>18200</v>
      </c>
      <c r="U5" s="176">
        <f t="shared" ref="U5:U6" si="72">T5</f>
        <v>18200</v>
      </c>
      <c r="V5" s="176">
        <f t="shared" ref="V5:V6" si="73">U5</f>
        <v>18200</v>
      </c>
      <c r="W5" s="176">
        <f t="shared" ref="W5:W6" si="74">V5</f>
        <v>18200</v>
      </c>
      <c r="X5" s="176">
        <f t="shared" ref="X5:X6" si="75">W5</f>
        <v>18200</v>
      </c>
      <c r="Y5" s="176">
        <f t="shared" ref="Y5:Y6" si="76">X5</f>
        <v>18200</v>
      </c>
      <c r="Z5" s="176">
        <f>Y5*(1+Assumptions!$D$7)</f>
        <v>36400</v>
      </c>
      <c r="AA5" s="176">
        <f t="shared" ref="AA5:AA6" si="77">Z5</f>
        <v>36400</v>
      </c>
      <c r="AB5" s="176">
        <f t="shared" ref="AB5:AB6" si="78">AA5</f>
        <v>36400</v>
      </c>
      <c r="AC5" s="176">
        <f t="shared" ref="AC5:AC6" si="79">AB5</f>
        <v>36400</v>
      </c>
      <c r="AD5" s="176">
        <f t="shared" ref="AD5:AD6" si="80">AC5</f>
        <v>36400</v>
      </c>
      <c r="AE5" s="176">
        <f t="shared" ref="AE5:AE6" si="81">AD5</f>
        <v>36400</v>
      </c>
      <c r="AF5" s="176">
        <f t="shared" ref="AF5:AF6" si="82">AE5</f>
        <v>36400</v>
      </c>
      <c r="AG5" s="176">
        <f t="shared" ref="AG5:AG6" si="83">AF5</f>
        <v>36400</v>
      </c>
      <c r="AH5" s="176">
        <f t="shared" ref="AH5:AH6" si="84">AG5</f>
        <v>36400</v>
      </c>
      <c r="AI5" s="176">
        <f t="shared" ref="AI5:AI6" si="85">AH5</f>
        <v>36400</v>
      </c>
      <c r="AJ5" s="176">
        <f t="shared" ref="AJ5:AJ6" si="86">AI5</f>
        <v>36400</v>
      </c>
      <c r="AK5" s="176">
        <f t="shared" ref="AK5:AK6" si="87">AJ5</f>
        <v>36400</v>
      </c>
      <c r="AL5" s="176">
        <f>AK5*(1+Assumptions!$E$7)</f>
        <v>72800</v>
      </c>
      <c r="AM5" s="176">
        <f t="shared" ref="AM5:AM6" si="88">AL5</f>
        <v>72800</v>
      </c>
      <c r="AN5" s="176">
        <f t="shared" ref="AN5:AN6" si="89">AM5</f>
        <v>72800</v>
      </c>
      <c r="AO5" s="176">
        <f t="shared" ref="AO5:AO6" si="90">AN5</f>
        <v>72800</v>
      </c>
      <c r="AP5" s="176">
        <f t="shared" ref="AP5:AP6" si="91">AO5</f>
        <v>72800</v>
      </c>
      <c r="AQ5" s="176">
        <f t="shared" ref="AQ5:AQ6" si="92">AP5</f>
        <v>72800</v>
      </c>
      <c r="AR5" s="176">
        <f t="shared" ref="AR5:AR6" si="93">AQ5</f>
        <v>72800</v>
      </c>
      <c r="AS5" s="176">
        <f t="shared" ref="AS5:AS6" si="94">AR5</f>
        <v>72800</v>
      </c>
      <c r="AT5" s="176">
        <f t="shared" ref="AT5:AT6" si="95">AS5</f>
        <v>72800</v>
      </c>
      <c r="AU5" s="176">
        <f t="shared" ref="AU5:AU6" si="96">AT5</f>
        <v>72800</v>
      </c>
      <c r="AV5" s="176">
        <f t="shared" ref="AV5:AV6" si="97">AU5</f>
        <v>72800</v>
      </c>
      <c r="AW5" s="176">
        <f t="shared" ref="AW5:AW6" si="98">AV5</f>
        <v>72800</v>
      </c>
      <c r="AX5" s="176">
        <f>AW5*(1+Assumptions!$F$7)</f>
        <v>145600</v>
      </c>
      <c r="AY5" s="176">
        <f t="shared" ref="AY5:AY6" si="99">AX5</f>
        <v>145600</v>
      </c>
      <c r="AZ5" s="176">
        <f t="shared" ref="AZ5:AZ6" si="100">AY5</f>
        <v>145600</v>
      </c>
      <c r="BA5" s="176">
        <f t="shared" ref="BA5:BA6" si="101">AZ5</f>
        <v>145600</v>
      </c>
      <c r="BB5" s="176">
        <f t="shared" ref="BB5:BB6" si="102">BA5</f>
        <v>145600</v>
      </c>
      <c r="BC5" s="176">
        <f t="shared" ref="BC5:BC6" si="103">BB5</f>
        <v>145600</v>
      </c>
      <c r="BD5" s="176">
        <f t="shared" ref="BD5:BD6" si="104">BC5</f>
        <v>145600</v>
      </c>
      <c r="BE5" s="176">
        <f t="shared" ref="BE5:BE6" si="105">BD5</f>
        <v>145600</v>
      </c>
      <c r="BF5" s="176">
        <f t="shared" ref="BF5:BF6" si="106">BE5</f>
        <v>145600</v>
      </c>
      <c r="BG5" s="176">
        <f t="shared" ref="BG5:BG6" si="107">BF5</f>
        <v>145600</v>
      </c>
      <c r="BH5" s="176">
        <f t="shared" ref="BH5:BH6" si="108">BG5</f>
        <v>145600</v>
      </c>
      <c r="BI5" s="176">
        <f t="shared" ref="BI5:BI6" si="109">BH5</f>
        <v>145600</v>
      </c>
    </row>
    <row r="6" spans="1:61">
      <c r="A6" s="175" t="str">
        <f>Assumptions!A70</f>
        <v>Maintenance &amp; Equipment Upkeep</v>
      </c>
      <c r="B6" s="176">
        <f>Assumptions!B70</f>
        <v>11500</v>
      </c>
      <c r="C6" s="176">
        <f t="shared" ref="C6" si="110">B6</f>
        <v>11500</v>
      </c>
      <c r="D6" s="176">
        <f t="shared" ref="D6" si="111">C6</f>
        <v>11500</v>
      </c>
      <c r="E6" s="176">
        <f t="shared" ref="E6" si="112">D6</f>
        <v>11500</v>
      </c>
      <c r="F6" s="176">
        <f t="shared" ref="F6" si="113">E6</f>
        <v>11500</v>
      </c>
      <c r="G6" s="176">
        <f t="shared" ref="G6" si="114">F6</f>
        <v>11500</v>
      </c>
      <c r="H6" s="176">
        <f t="shared" ref="H6" si="115">G6</f>
        <v>11500</v>
      </c>
      <c r="I6" s="176">
        <f t="shared" ref="I6" si="116">H6</f>
        <v>11500</v>
      </c>
      <c r="J6" s="176">
        <f t="shared" ref="J6" si="117">I6</f>
        <v>11500</v>
      </c>
      <c r="K6" s="176">
        <f t="shared" ref="K6" si="118">J6</f>
        <v>11500</v>
      </c>
      <c r="L6" s="176">
        <f t="shared" ref="L6" si="119">K6</f>
        <v>11500</v>
      </c>
      <c r="M6" s="176">
        <f t="shared" ref="M6" si="120">L6</f>
        <v>11500</v>
      </c>
      <c r="N6" s="176">
        <f>M6*(1+Assumptions!$C$7)</f>
        <v>23000</v>
      </c>
      <c r="O6" s="176">
        <f t="shared" si="66"/>
        <v>23000</v>
      </c>
      <c r="P6" s="176">
        <f t="shared" si="67"/>
        <v>23000</v>
      </c>
      <c r="Q6" s="176">
        <f t="shared" si="68"/>
        <v>23000</v>
      </c>
      <c r="R6" s="176">
        <f t="shared" si="69"/>
        <v>23000</v>
      </c>
      <c r="S6" s="176">
        <f t="shared" si="70"/>
        <v>23000</v>
      </c>
      <c r="T6" s="176">
        <f t="shared" si="71"/>
        <v>23000</v>
      </c>
      <c r="U6" s="176">
        <f t="shared" si="72"/>
        <v>23000</v>
      </c>
      <c r="V6" s="176">
        <f t="shared" si="73"/>
        <v>23000</v>
      </c>
      <c r="W6" s="176">
        <f t="shared" si="74"/>
        <v>23000</v>
      </c>
      <c r="X6" s="176">
        <f t="shared" si="75"/>
        <v>23000</v>
      </c>
      <c r="Y6" s="176">
        <f t="shared" si="76"/>
        <v>23000</v>
      </c>
      <c r="Z6" s="176">
        <f>Y6*(1+Assumptions!$D$7)</f>
        <v>46000</v>
      </c>
      <c r="AA6" s="176">
        <f t="shared" si="77"/>
        <v>46000</v>
      </c>
      <c r="AB6" s="176">
        <f t="shared" si="78"/>
        <v>46000</v>
      </c>
      <c r="AC6" s="176">
        <f t="shared" si="79"/>
        <v>46000</v>
      </c>
      <c r="AD6" s="176">
        <f t="shared" si="80"/>
        <v>46000</v>
      </c>
      <c r="AE6" s="176">
        <f t="shared" si="81"/>
        <v>46000</v>
      </c>
      <c r="AF6" s="176">
        <f t="shared" si="82"/>
        <v>46000</v>
      </c>
      <c r="AG6" s="176">
        <f t="shared" si="83"/>
        <v>46000</v>
      </c>
      <c r="AH6" s="176">
        <f t="shared" si="84"/>
        <v>46000</v>
      </c>
      <c r="AI6" s="176">
        <f t="shared" si="85"/>
        <v>46000</v>
      </c>
      <c r="AJ6" s="176">
        <f t="shared" si="86"/>
        <v>46000</v>
      </c>
      <c r="AK6" s="176">
        <f t="shared" si="87"/>
        <v>46000</v>
      </c>
      <c r="AL6" s="176">
        <f>AK6*(1+Assumptions!$E$7)</f>
        <v>92000</v>
      </c>
      <c r="AM6" s="176">
        <f t="shared" si="88"/>
        <v>92000</v>
      </c>
      <c r="AN6" s="176">
        <f t="shared" si="89"/>
        <v>92000</v>
      </c>
      <c r="AO6" s="176">
        <f t="shared" si="90"/>
        <v>92000</v>
      </c>
      <c r="AP6" s="176">
        <f t="shared" si="91"/>
        <v>92000</v>
      </c>
      <c r="AQ6" s="176">
        <f t="shared" si="92"/>
        <v>92000</v>
      </c>
      <c r="AR6" s="176">
        <f t="shared" si="93"/>
        <v>92000</v>
      </c>
      <c r="AS6" s="176">
        <f t="shared" si="94"/>
        <v>92000</v>
      </c>
      <c r="AT6" s="176">
        <f t="shared" si="95"/>
        <v>92000</v>
      </c>
      <c r="AU6" s="176">
        <f t="shared" si="96"/>
        <v>92000</v>
      </c>
      <c r="AV6" s="176">
        <f t="shared" si="97"/>
        <v>92000</v>
      </c>
      <c r="AW6" s="176">
        <f t="shared" si="98"/>
        <v>92000</v>
      </c>
      <c r="AX6" s="176">
        <f>AW6*(1+Assumptions!$F$7)</f>
        <v>184000</v>
      </c>
      <c r="AY6" s="176">
        <f t="shared" si="99"/>
        <v>184000</v>
      </c>
      <c r="AZ6" s="176">
        <f t="shared" si="100"/>
        <v>184000</v>
      </c>
      <c r="BA6" s="176">
        <f t="shared" si="101"/>
        <v>184000</v>
      </c>
      <c r="BB6" s="176">
        <f t="shared" si="102"/>
        <v>184000</v>
      </c>
      <c r="BC6" s="176">
        <f t="shared" si="103"/>
        <v>184000</v>
      </c>
      <c r="BD6" s="176">
        <f t="shared" si="104"/>
        <v>184000</v>
      </c>
      <c r="BE6" s="176">
        <f t="shared" si="105"/>
        <v>184000</v>
      </c>
      <c r="BF6" s="176">
        <f t="shared" si="106"/>
        <v>184000</v>
      </c>
      <c r="BG6" s="176">
        <f t="shared" si="107"/>
        <v>184000</v>
      </c>
      <c r="BH6" s="176">
        <f t="shared" si="108"/>
        <v>184000</v>
      </c>
      <c r="BI6" s="176">
        <f t="shared" si="109"/>
        <v>184000</v>
      </c>
    </row>
    <row r="7" spans="1:61">
      <c r="A7" s="175" t="str">
        <f>Assumptions!A71</f>
        <v>Insurance &amp; Security</v>
      </c>
      <c r="B7" s="176">
        <f>Assumptions!B71</f>
        <v>8000</v>
      </c>
      <c r="C7" s="176">
        <f t="shared" ref="C7" si="121">B7</f>
        <v>8000</v>
      </c>
      <c r="D7" s="176">
        <f t="shared" ref="D7" si="122">C7</f>
        <v>8000</v>
      </c>
      <c r="E7" s="176">
        <f t="shared" ref="E7" si="123">D7</f>
        <v>8000</v>
      </c>
      <c r="F7" s="176">
        <f t="shared" ref="F7" si="124">E7</f>
        <v>8000</v>
      </c>
      <c r="G7" s="176">
        <f t="shared" ref="G7" si="125">F7</f>
        <v>8000</v>
      </c>
      <c r="H7" s="176">
        <f t="shared" ref="H7" si="126">G7</f>
        <v>8000</v>
      </c>
      <c r="I7" s="176">
        <f t="shared" ref="I7" si="127">H7</f>
        <v>8000</v>
      </c>
      <c r="J7" s="176">
        <f t="shared" ref="J7" si="128">I7</f>
        <v>8000</v>
      </c>
      <c r="K7" s="176">
        <f t="shared" ref="K7" si="129">J7</f>
        <v>8000</v>
      </c>
      <c r="L7" s="176">
        <f t="shared" ref="L7" si="130">K7</f>
        <v>8000</v>
      </c>
      <c r="M7" s="176">
        <f t="shared" ref="M7" si="131">L7</f>
        <v>8000</v>
      </c>
      <c r="N7" s="176">
        <f>M7*(1+Assumptions!$C$7)</f>
        <v>16000</v>
      </c>
      <c r="O7" s="176">
        <f t="shared" ref="O7" si="132">N7</f>
        <v>16000</v>
      </c>
      <c r="P7" s="176">
        <f t="shared" ref="P7" si="133">O7</f>
        <v>16000</v>
      </c>
      <c r="Q7" s="176">
        <f t="shared" ref="Q7" si="134">P7</f>
        <v>16000</v>
      </c>
      <c r="R7" s="176">
        <f t="shared" ref="R7" si="135">Q7</f>
        <v>16000</v>
      </c>
      <c r="S7" s="176">
        <f t="shared" ref="S7" si="136">R7</f>
        <v>16000</v>
      </c>
      <c r="T7" s="176">
        <f t="shared" ref="T7" si="137">S7</f>
        <v>16000</v>
      </c>
      <c r="U7" s="176">
        <f t="shared" ref="U7" si="138">T7</f>
        <v>16000</v>
      </c>
      <c r="V7" s="176">
        <f t="shared" ref="V7" si="139">U7</f>
        <v>16000</v>
      </c>
      <c r="W7" s="176">
        <f t="shared" ref="W7" si="140">V7</f>
        <v>16000</v>
      </c>
      <c r="X7" s="176">
        <f t="shared" ref="X7" si="141">W7</f>
        <v>16000</v>
      </c>
      <c r="Y7" s="176">
        <f t="shared" ref="Y7" si="142">X7</f>
        <v>16000</v>
      </c>
      <c r="Z7" s="176">
        <f>Y7*(1+Assumptions!$D$7)</f>
        <v>32000</v>
      </c>
      <c r="AA7" s="176">
        <f t="shared" ref="AA7" si="143">Z7</f>
        <v>32000</v>
      </c>
      <c r="AB7" s="176">
        <f t="shared" ref="AB7" si="144">AA7</f>
        <v>32000</v>
      </c>
      <c r="AC7" s="176">
        <f t="shared" ref="AC7" si="145">AB7</f>
        <v>32000</v>
      </c>
      <c r="AD7" s="176">
        <f t="shared" ref="AD7" si="146">AC7</f>
        <v>32000</v>
      </c>
      <c r="AE7" s="176">
        <f t="shared" ref="AE7" si="147">AD7</f>
        <v>32000</v>
      </c>
      <c r="AF7" s="176">
        <f t="shared" ref="AF7" si="148">AE7</f>
        <v>32000</v>
      </c>
      <c r="AG7" s="176">
        <f t="shared" ref="AG7" si="149">AF7</f>
        <v>32000</v>
      </c>
      <c r="AH7" s="176">
        <f t="shared" ref="AH7" si="150">AG7</f>
        <v>32000</v>
      </c>
      <c r="AI7" s="176">
        <f t="shared" ref="AI7" si="151">AH7</f>
        <v>32000</v>
      </c>
      <c r="AJ7" s="176">
        <f t="shared" ref="AJ7" si="152">AI7</f>
        <v>32000</v>
      </c>
      <c r="AK7" s="176">
        <f t="shared" ref="AK7" si="153">AJ7</f>
        <v>32000</v>
      </c>
      <c r="AL7" s="176">
        <f>AK7*(1+Assumptions!$E$7)</f>
        <v>64000</v>
      </c>
      <c r="AM7" s="176">
        <f t="shared" ref="AM7" si="154">AL7</f>
        <v>64000</v>
      </c>
      <c r="AN7" s="176">
        <f t="shared" ref="AN7" si="155">AM7</f>
        <v>64000</v>
      </c>
      <c r="AO7" s="176">
        <f t="shared" ref="AO7" si="156">AN7</f>
        <v>64000</v>
      </c>
      <c r="AP7" s="176">
        <f t="shared" ref="AP7" si="157">AO7</f>
        <v>64000</v>
      </c>
      <c r="AQ7" s="176">
        <f t="shared" ref="AQ7" si="158">AP7</f>
        <v>64000</v>
      </c>
      <c r="AR7" s="176">
        <f t="shared" ref="AR7" si="159">AQ7</f>
        <v>64000</v>
      </c>
      <c r="AS7" s="176">
        <f t="shared" ref="AS7" si="160">AR7</f>
        <v>64000</v>
      </c>
      <c r="AT7" s="176">
        <f t="shared" ref="AT7" si="161">AS7</f>
        <v>64000</v>
      </c>
      <c r="AU7" s="176">
        <f t="shared" ref="AU7" si="162">AT7</f>
        <v>64000</v>
      </c>
      <c r="AV7" s="176">
        <f t="shared" ref="AV7" si="163">AU7</f>
        <v>64000</v>
      </c>
      <c r="AW7" s="176">
        <f t="shared" ref="AW7" si="164">AV7</f>
        <v>64000</v>
      </c>
      <c r="AX7" s="176">
        <f>AW7*(1+Assumptions!$F$7)</f>
        <v>128000</v>
      </c>
      <c r="AY7" s="176">
        <f t="shared" ref="AY7" si="165">AX7</f>
        <v>128000</v>
      </c>
      <c r="AZ7" s="176">
        <f t="shared" ref="AZ7" si="166">AY7</f>
        <v>128000</v>
      </c>
      <c r="BA7" s="176">
        <f t="shared" ref="BA7" si="167">AZ7</f>
        <v>128000</v>
      </c>
      <c r="BB7" s="176">
        <f t="shared" ref="BB7" si="168">BA7</f>
        <v>128000</v>
      </c>
      <c r="BC7" s="176">
        <f t="shared" ref="BC7" si="169">BB7</f>
        <v>128000</v>
      </c>
      <c r="BD7" s="176">
        <f t="shared" ref="BD7" si="170">BC7</f>
        <v>128000</v>
      </c>
      <c r="BE7" s="176">
        <f t="shared" ref="BE7" si="171">BD7</f>
        <v>128000</v>
      </c>
      <c r="BF7" s="176">
        <f t="shared" ref="BF7" si="172">BE7</f>
        <v>128000</v>
      </c>
      <c r="BG7" s="176">
        <f t="shared" ref="BG7" si="173">BF7</f>
        <v>128000</v>
      </c>
      <c r="BH7" s="176">
        <f t="shared" ref="BH7" si="174">BG7</f>
        <v>128000</v>
      </c>
      <c r="BI7" s="176">
        <f t="shared" ref="BI7" si="175">BH7</f>
        <v>128000</v>
      </c>
    </row>
    <row r="8" spans="1:61">
      <c r="A8" s="175" t="str">
        <f>Assumptions!A72</f>
        <v>Marketing &amp; Advertising</v>
      </c>
      <c r="B8" s="176">
        <f>'Revenue Forecasts'!B6*Assumptions!$B72</f>
        <v>18375</v>
      </c>
      <c r="C8" s="176">
        <f>'Revenue Forecasts'!C6*Assumptions!$B72</f>
        <v>18926.250000000007</v>
      </c>
      <c r="D8" s="176">
        <f>'Revenue Forecasts'!D6*Assumptions!$B72</f>
        <v>19494.037500000002</v>
      </c>
      <c r="E8" s="176">
        <f>'Revenue Forecasts'!E6*Assumptions!$B72</f>
        <v>20078.858625000004</v>
      </c>
      <c r="F8" s="176">
        <f>'Revenue Forecasts'!F6*Assumptions!$B72</f>
        <v>20681.224383750003</v>
      </c>
      <c r="G8" s="176">
        <f>'Revenue Forecasts'!G6*Assumptions!$B72</f>
        <v>21301.661115262505</v>
      </c>
      <c r="H8" s="176">
        <f>'Revenue Forecasts'!H6*Assumptions!$B72</f>
        <v>21940.710948720382</v>
      </c>
      <c r="I8" s="176">
        <f>'Revenue Forecasts'!I6*Assumptions!$B72</f>
        <v>22598.932277181993</v>
      </c>
      <c r="J8" s="176">
        <f>'Revenue Forecasts'!J6*Assumptions!$B72</f>
        <v>23276.900245497451</v>
      </c>
      <c r="K8" s="176">
        <f>'Revenue Forecasts'!K6*Assumptions!$B72</f>
        <v>23975.207252862376</v>
      </c>
      <c r="L8" s="176">
        <f>'Revenue Forecasts'!L6*Assumptions!$B72</f>
        <v>24694.463470448249</v>
      </c>
      <c r="M8" s="176">
        <f>'Revenue Forecasts'!M6*Assumptions!$B72</f>
        <v>25435.297374561695</v>
      </c>
      <c r="N8" s="176">
        <f>'Revenue Forecasts'!N6*Assumptions!$B72</f>
        <v>36728.827112017869</v>
      </c>
      <c r="O8" s="176">
        <f>'Revenue Forecasts'!O6*Assumptions!$B72</f>
        <v>40401.709823219659</v>
      </c>
      <c r="P8" s="176">
        <f>'Revenue Forecasts'!P6*Assumptions!$B72</f>
        <v>44441.880805541623</v>
      </c>
      <c r="Q8" s="176">
        <f>'Revenue Forecasts'!Q6*Assumptions!$B72</f>
        <v>48886.068886095789</v>
      </c>
      <c r="R8" s="176">
        <f>'Revenue Forecasts'!R6*Assumptions!$B72</f>
        <v>53774.675774705371</v>
      </c>
      <c r="S8" s="176">
        <f>'Revenue Forecasts'!S6*Assumptions!$B72</f>
        <v>59152.143352175917</v>
      </c>
      <c r="T8" s="176">
        <f>'Revenue Forecasts'!T6*Assumptions!$B72</f>
        <v>65067.357687393509</v>
      </c>
      <c r="U8" s="176">
        <f>'Revenue Forecasts'!U6*Assumptions!$B72</f>
        <v>71574.093456132861</v>
      </c>
      <c r="V8" s="176">
        <f>'Revenue Forecasts'!V6*Assumptions!$B72</f>
        <v>78731.502801746159</v>
      </c>
      <c r="W8" s="176">
        <f>'Revenue Forecasts'!W6*Assumptions!$B72</f>
        <v>86604.653081920769</v>
      </c>
      <c r="X8" s="176">
        <f>'Revenue Forecasts'!X6*Assumptions!$B72</f>
        <v>95265.118390112868</v>
      </c>
      <c r="Y8" s="176">
        <f>'Revenue Forecasts'!Y6*Assumptions!$B72</f>
        <v>104791.63022912416</v>
      </c>
      <c r="Z8" s="176">
        <f>'Revenue Forecasts'!Z6*Assumptions!$B72</f>
        <v>110031.21174058034</v>
      </c>
      <c r="AA8" s="176">
        <f>'Revenue Forecasts'!AA6*Assumptions!$B72</f>
        <v>115532.77232760939</v>
      </c>
      <c r="AB8" s="176">
        <f>'Revenue Forecasts'!AB6*Assumptions!$B72</f>
        <v>121309.41094398986</v>
      </c>
      <c r="AC8" s="176">
        <f>'Revenue Forecasts'!AC6*Assumptions!$B72</f>
        <v>127374.88149118934</v>
      </c>
      <c r="AD8" s="176">
        <f>'Revenue Forecasts'!AD6*Assumptions!$B72</f>
        <v>133743.62556574881</v>
      </c>
      <c r="AE8" s="176">
        <f>'Revenue Forecasts'!AE6*Assumptions!$B72</f>
        <v>140430.80684403627</v>
      </c>
      <c r="AF8" s="176">
        <f>'Revenue Forecasts'!AF6*Assumptions!$B72</f>
        <v>147452.3471862381</v>
      </c>
      <c r="AG8" s="176">
        <f>'Revenue Forecasts'!AG6*Assumptions!$B72</f>
        <v>154824.96454555</v>
      </c>
      <c r="AH8" s="176">
        <f>'Revenue Forecasts'!AH6*Assumptions!$B72</f>
        <v>162566.21277282754</v>
      </c>
      <c r="AI8" s="176">
        <f>'Revenue Forecasts'!AI6*Assumptions!$B72</f>
        <v>170694.52341146889</v>
      </c>
      <c r="AJ8" s="176">
        <f>'Revenue Forecasts'!AJ6*Assumptions!$B72</f>
        <v>179229.24958204236</v>
      </c>
      <c r="AK8" s="176">
        <f>'Revenue Forecasts'!AK6*Assumptions!$B72</f>
        <v>188190.7120611445</v>
      </c>
      <c r="AL8" s="176">
        <f>'Revenue Forecasts'!AL6*Assumptions!$B72</f>
        <v>197600.24766420171</v>
      </c>
      <c r="AM8" s="176">
        <f>'Revenue Forecasts'!AM6*Assumptions!$B72</f>
        <v>207480.26004741181</v>
      </c>
      <c r="AN8" s="176">
        <f>'Revenue Forecasts'!AN6*Assumptions!$B72</f>
        <v>217854.27304978241</v>
      </c>
      <c r="AO8" s="176">
        <f>'Revenue Forecasts'!AO6*Assumptions!$B72</f>
        <v>228746.9867022715</v>
      </c>
      <c r="AP8" s="176">
        <f>'Revenue Forecasts'!AP6*Assumptions!$B72</f>
        <v>240184.33603738513</v>
      </c>
      <c r="AQ8" s="176">
        <f>'Revenue Forecasts'!AQ6*Assumptions!$B72</f>
        <v>252193.55283925441</v>
      </c>
      <c r="AR8" s="176">
        <f>'Revenue Forecasts'!AR6*Assumptions!$B72</f>
        <v>264803.23048121709</v>
      </c>
      <c r="AS8" s="176">
        <f>'Revenue Forecasts'!AS6*Assumptions!$B72</f>
        <v>278043.39200527797</v>
      </c>
      <c r="AT8" s="176">
        <f>'Revenue Forecasts'!AT6*Assumptions!$B72</f>
        <v>291945.56160554185</v>
      </c>
      <c r="AU8" s="176">
        <f>'Revenue Forecasts'!AU6*Assumptions!$B72</f>
        <v>306542.83968581905</v>
      </c>
      <c r="AV8" s="176">
        <f>'Revenue Forecasts'!AV6*Assumptions!$B72</f>
        <v>321869.9816701099</v>
      </c>
      <c r="AW8" s="176">
        <f>'Revenue Forecasts'!AW6*Assumptions!$B72</f>
        <v>337963.48075361544</v>
      </c>
      <c r="AX8" s="176">
        <f>'Revenue Forecasts'!AX6*Assumptions!$B72</f>
        <v>354861.65479129617</v>
      </c>
      <c r="AY8" s="176">
        <f>'Revenue Forecasts'!AY6*Assumptions!$B72</f>
        <v>372604.73753086099</v>
      </c>
      <c r="AZ8" s="176">
        <f>'Revenue Forecasts'!AZ6*Assumptions!$B72</f>
        <v>391234.97440740414</v>
      </c>
      <c r="BA8" s="176">
        <f>'Revenue Forecasts'!BA6*Assumptions!$B72</f>
        <v>410796.72312777437</v>
      </c>
      <c r="BB8" s="176">
        <f>'Revenue Forecasts'!BB6*Assumptions!$B72</f>
        <v>431336.55928416312</v>
      </c>
      <c r="BC8" s="176">
        <f>'Revenue Forecasts'!BC6*Assumptions!$B72</f>
        <v>452903.38724837126</v>
      </c>
      <c r="BD8" s="176">
        <f>'Revenue Forecasts'!BD6*Assumptions!$B72</f>
        <v>475548.55661078985</v>
      </c>
      <c r="BE8" s="176">
        <f>'Revenue Forecasts'!BE6*Assumptions!$B72</f>
        <v>499325.98444132938</v>
      </c>
      <c r="BF8" s="176">
        <f>'Revenue Forecasts'!BF6*Assumptions!$B72</f>
        <v>524292.28366339579</v>
      </c>
      <c r="BG8" s="176">
        <f>'Revenue Forecasts'!BG6*Assumptions!$B72</f>
        <v>550506.89784656558</v>
      </c>
      <c r="BH8" s="176">
        <f>'Revenue Forecasts'!BH6*Assumptions!$B72</f>
        <v>578032.24273889395</v>
      </c>
      <c r="BI8" s="176">
        <f>'Revenue Forecasts'!BI6*Assumptions!$B72</f>
        <v>606933.85487583873</v>
      </c>
    </row>
    <row r="9" spans="1:61">
      <c r="A9" s="175" t="str">
        <f>Assumptions!A73</f>
        <v>R&amp;D &amp; Prototyping</v>
      </c>
      <c r="B9" s="176">
        <f>Assumptions!B73</f>
        <v>5500</v>
      </c>
      <c r="C9" s="176">
        <f t="shared" ref="C9" si="176">B9</f>
        <v>5500</v>
      </c>
      <c r="D9" s="176">
        <f t="shared" ref="D9" si="177">C9</f>
        <v>5500</v>
      </c>
      <c r="E9" s="176">
        <f t="shared" ref="E9" si="178">D9</f>
        <v>5500</v>
      </c>
      <c r="F9" s="176">
        <f t="shared" ref="F9" si="179">E9</f>
        <v>5500</v>
      </c>
      <c r="G9" s="176">
        <f t="shared" ref="G9" si="180">F9</f>
        <v>5500</v>
      </c>
      <c r="H9" s="176">
        <f t="shared" ref="H9" si="181">G9</f>
        <v>5500</v>
      </c>
      <c r="I9" s="176">
        <f t="shared" ref="I9" si="182">H9</f>
        <v>5500</v>
      </c>
      <c r="J9" s="176">
        <f t="shared" ref="J9" si="183">I9</f>
        <v>5500</v>
      </c>
      <c r="K9" s="176">
        <f t="shared" ref="K9" si="184">J9</f>
        <v>5500</v>
      </c>
      <c r="L9" s="176">
        <f t="shared" ref="L9" si="185">K9</f>
        <v>5500</v>
      </c>
      <c r="M9" s="176">
        <f t="shared" ref="M9" si="186">L9</f>
        <v>5500</v>
      </c>
      <c r="N9" s="176">
        <f>M9*(1+Assumptions!$C$7)</f>
        <v>11000</v>
      </c>
      <c r="O9" s="176">
        <f t="shared" ref="O9" si="187">N9</f>
        <v>11000</v>
      </c>
      <c r="P9" s="176">
        <f t="shared" ref="P9" si="188">O9</f>
        <v>11000</v>
      </c>
      <c r="Q9" s="176">
        <f t="shared" ref="Q9" si="189">P9</f>
        <v>11000</v>
      </c>
      <c r="R9" s="176">
        <f t="shared" ref="R9" si="190">Q9</f>
        <v>11000</v>
      </c>
      <c r="S9" s="176">
        <f t="shared" ref="S9" si="191">R9</f>
        <v>11000</v>
      </c>
      <c r="T9" s="176">
        <f t="shared" ref="T9" si="192">S9</f>
        <v>11000</v>
      </c>
      <c r="U9" s="176">
        <f t="shared" ref="U9" si="193">T9</f>
        <v>11000</v>
      </c>
      <c r="V9" s="176">
        <f t="shared" ref="V9" si="194">U9</f>
        <v>11000</v>
      </c>
      <c r="W9" s="176">
        <f t="shared" ref="W9" si="195">V9</f>
        <v>11000</v>
      </c>
      <c r="X9" s="176">
        <f t="shared" ref="X9" si="196">W9</f>
        <v>11000</v>
      </c>
      <c r="Y9" s="176">
        <f t="shared" ref="Y9" si="197">X9</f>
        <v>11000</v>
      </c>
      <c r="Z9" s="176">
        <f>Y9*(1+Assumptions!$D$7)</f>
        <v>22000</v>
      </c>
      <c r="AA9" s="176">
        <f t="shared" ref="AA9" si="198">Z9</f>
        <v>22000</v>
      </c>
      <c r="AB9" s="176">
        <f t="shared" ref="AB9" si="199">AA9</f>
        <v>22000</v>
      </c>
      <c r="AC9" s="176">
        <f t="shared" ref="AC9" si="200">AB9</f>
        <v>22000</v>
      </c>
      <c r="AD9" s="176">
        <f t="shared" ref="AD9" si="201">AC9</f>
        <v>22000</v>
      </c>
      <c r="AE9" s="176">
        <f t="shared" ref="AE9" si="202">AD9</f>
        <v>22000</v>
      </c>
      <c r="AF9" s="176">
        <f t="shared" ref="AF9" si="203">AE9</f>
        <v>22000</v>
      </c>
      <c r="AG9" s="176">
        <f t="shared" ref="AG9" si="204">AF9</f>
        <v>22000</v>
      </c>
      <c r="AH9" s="176">
        <f t="shared" ref="AH9" si="205">AG9</f>
        <v>22000</v>
      </c>
      <c r="AI9" s="176">
        <f t="shared" ref="AI9" si="206">AH9</f>
        <v>22000</v>
      </c>
      <c r="AJ9" s="176">
        <f t="shared" ref="AJ9" si="207">AI9</f>
        <v>22000</v>
      </c>
      <c r="AK9" s="176">
        <f t="shared" ref="AK9" si="208">AJ9</f>
        <v>22000</v>
      </c>
      <c r="AL9" s="176">
        <f>AK9*(1+Assumptions!$E$7)</f>
        <v>44000</v>
      </c>
      <c r="AM9" s="176">
        <f t="shared" ref="AM9" si="209">AL9</f>
        <v>44000</v>
      </c>
      <c r="AN9" s="176">
        <f t="shared" ref="AN9" si="210">AM9</f>
        <v>44000</v>
      </c>
      <c r="AO9" s="176">
        <f t="shared" ref="AO9" si="211">AN9</f>
        <v>44000</v>
      </c>
      <c r="AP9" s="176">
        <f t="shared" ref="AP9" si="212">AO9</f>
        <v>44000</v>
      </c>
      <c r="AQ9" s="176">
        <f t="shared" ref="AQ9" si="213">AP9</f>
        <v>44000</v>
      </c>
      <c r="AR9" s="176">
        <f t="shared" ref="AR9" si="214">AQ9</f>
        <v>44000</v>
      </c>
      <c r="AS9" s="176">
        <f t="shared" ref="AS9" si="215">AR9</f>
        <v>44000</v>
      </c>
      <c r="AT9" s="176">
        <f t="shared" ref="AT9" si="216">AS9</f>
        <v>44000</v>
      </c>
      <c r="AU9" s="176">
        <f t="shared" ref="AU9" si="217">AT9</f>
        <v>44000</v>
      </c>
      <c r="AV9" s="176">
        <f t="shared" ref="AV9" si="218">AU9</f>
        <v>44000</v>
      </c>
      <c r="AW9" s="176">
        <f t="shared" ref="AW9" si="219">AV9</f>
        <v>44000</v>
      </c>
      <c r="AX9" s="176">
        <f>AW9*(1+Assumptions!$F$7)</f>
        <v>88000</v>
      </c>
      <c r="AY9" s="176">
        <f t="shared" ref="AY9" si="220">AX9</f>
        <v>88000</v>
      </c>
      <c r="AZ9" s="176">
        <f t="shared" ref="AZ9" si="221">AY9</f>
        <v>88000</v>
      </c>
      <c r="BA9" s="176">
        <f t="shared" ref="BA9" si="222">AZ9</f>
        <v>88000</v>
      </c>
      <c r="BB9" s="176">
        <f t="shared" ref="BB9" si="223">BA9</f>
        <v>88000</v>
      </c>
      <c r="BC9" s="176">
        <f t="shared" ref="BC9" si="224">BB9</f>
        <v>88000</v>
      </c>
      <c r="BD9" s="176">
        <f t="shared" ref="BD9" si="225">BC9</f>
        <v>88000</v>
      </c>
      <c r="BE9" s="176">
        <f t="shared" ref="BE9" si="226">BD9</f>
        <v>88000</v>
      </c>
      <c r="BF9" s="176">
        <f t="shared" ref="BF9" si="227">BE9</f>
        <v>88000</v>
      </c>
      <c r="BG9" s="176">
        <f t="shared" ref="BG9" si="228">BF9</f>
        <v>88000</v>
      </c>
      <c r="BH9" s="176">
        <f t="shared" ref="BH9" si="229">BG9</f>
        <v>88000</v>
      </c>
      <c r="BI9" s="176">
        <f t="shared" ref="BI9" si="230">BH9</f>
        <v>88000</v>
      </c>
    </row>
    <row r="10" spans="1:61">
      <c r="A10" s="175" t="str">
        <f>Assumptions!A74</f>
        <v>Miscellaneous Expenses</v>
      </c>
      <c r="B10" s="176">
        <f>Assumptions!B74</f>
        <v>1500</v>
      </c>
      <c r="C10" s="176">
        <f t="shared" ref="C10" si="231">B10</f>
        <v>1500</v>
      </c>
      <c r="D10" s="176">
        <f t="shared" ref="D10" si="232">C10</f>
        <v>1500</v>
      </c>
      <c r="E10" s="176">
        <f t="shared" ref="E10" si="233">D10</f>
        <v>1500</v>
      </c>
      <c r="F10" s="176">
        <f t="shared" ref="F10" si="234">E10</f>
        <v>1500</v>
      </c>
      <c r="G10" s="176">
        <f t="shared" ref="G10" si="235">F10</f>
        <v>1500</v>
      </c>
      <c r="H10" s="176">
        <f t="shared" ref="H10" si="236">G10</f>
        <v>1500</v>
      </c>
      <c r="I10" s="176">
        <f t="shared" ref="I10" si="237">H10</f>
        <v>1500</v>
      </c>
      <c r="J10" s="176">
        <f t="shared" ref="J10" si="238">I10</f>
        <v>1500</v>
      </c>
      <c r="K10" s="176">
        <f t="shared" ref="K10" si="239">J10</f>
        <v>1500</v>
      </c>
      <c r="L10" s="176">
        <f t="shared" ref="L10" si="240">K10</f>
        <v>1500</v>
      </c>
      <c r="M10" s="176">
        <f t="shared" ref="M10" si="241">L10</f>
        <v>1500</v>
      </c>
      <c r="N10" s="176">
        <f>M10*(1+Assumptions!$C$7)</f>
        <v>3000</v>
      </c>
      <c r="O10" s="176">
        <f t="shared" ref="O10" si="242">N10</f>
        <v>3000</v>
      </c>
      <c r="P10" s="176">
        <f t="shared" ref="P10" si="243">O10</f>
        <v>3000</v>
      </c>
      <c r="Q10" s="176">
        <f t="shared" ref="Q10" si="244">P10</f>
        <v>3000</v>
      </c>
      <c r="R10" s="176">
        <f t="shared" ref="R10" si="245">Q10</f>
        <v>3000</v>
      </c>
      <c r="S10" s="176">
        <f t="shared" ref="S10" si="246">R10</f>
        <v>3000</v>
      </c>
      <c r="T10" s="176">
        <f t="shared" ref="T10" si="247">S10</f>
        <v>3000</v>
      </c>
      <c r="U10" s="176">
        <f t="shared" ref="U10" si="248">T10</f>
        <v>3000</v>
      </c>
      <c r="V10" s="176">
        <f t="shared" ref="V10" si="249">U10</f>
        <v>3000</v>
      </c>
      <c r="W10" s="176">
        <f t="shared" ref="W10" si="250">V10</f>
        <v>3000</v>
      </c>
      <c r="X10" s="176">
        <f t="shared" ref="X10" si="251">W10</f>
        <v>3000</v>
      </c>
      <c r="Y10" s="176">
        <f t="shared" ref="Y10" si="252">X10</f>
        <v>3000</v>
      </c>
      <c r="Z10" s="176">
        <f>Y10*(1+Assumptions!$D$7)</f>
        <v>6000</v>
      </c>
      <c r="AA10" s="176">
        <f t="shared" ref="AA10" si="253">Z10</f>
        <v>6000</v>
      </c>
      <c r="AB10" s="176">
        <f t="shared" ref="AB10" si="254">AA10</f>
        <v>6000</v>
      </c>
      <c r="AC10" s="176">
        <f t="shared" ref="AC10" si="255">AB10</f>
        <v>6000</v>
      </c>
      <c r="AD10" s="176">
        <f t="shared" ref="AD10" si="256">AC10</f>
        <v>6000</v>
      </c>
      <c r="AE10" s="176">
        <f t="shared" ref="AE10" si="257">AD10</f>
        <v>6000</v>
      </c>
      <c r="AF10" s="176">
        <f t="shared" ref="AF10" si="258">AE10</f>
        <v>6000</v>
      </c>
      <c r="AG10" s="176">
        <f t="shared" ref="AG10" si="259">AF10</f>
        <v>6000</v>
      </c>
      <c r="AH10" s="176">
        <f t="shared" ref="AH10" si="260">AG10</f>
        <v>6000</v>
      </c>
      <c r="AI10" s="176">
        <f t="shared" ref="AI10" si="261">AH10</f>
        <v>6000</v>
      </c>
      <c r="AJ10" s="176">
        <f t="shared" ref="AJ10" si="262">AI10</f>
        <v>6000</v>
      </c>
      <c r="AK10" s="176">
        <f t="shared" ref="AK10" si="263">AJ10</f>
        <v>6000</v>
      </c>
      <c r="AL10" s="176">
        <f>AK10*(1+Assumptions!$E$7)</f>
        <v>12000</v>
      </c>
      <c r="AM10" s="176">
        <f t="shared" ref="AM10" si="264">AL10</f>
        <v>12000</v>
      </c>
      <c r="AN10" s="176">
        <f t="shared" ref="AN10" si="265">AM10</f>
        <v>12000</v>
      </c>
      <c r="AO10" s="176">
        <f t="shared" ref="AO10" si="266">AN10</f>
        <v>12000</v>
      </c>
      <c r="AP10" s="176">
        <f t="shared" ref="AP10" si="267">AO10</f>
        <v>12000</v>
      </c>
      <c r="AQ10" s="176">
        <f t="shared" ref="AQ10" si="268">AP10</f>
        <v>12000</v>
      </c>
      <c r="AR10" s="176">
        <f t="shared" ref="AR10" si="269">AQ10</f>
        <v>12000</v>
      </c>
      <c r="AS10" s="176">
        <f t="shared" ref="AS10" si="270">AR10</f>
        <v>12000</v>
      </c>
      <c r="AT10" s="176">
        <f t="shared" ref="AT10" si="271">AS10</f>
        <v>12000</v>
      </c>
      <c r="AU10" s="176">
        <f t="shared" ref="AU10" si="272">AT10</f>
        <v>12000</v>
      </c>
      <c r="AV10" s="176">
        <f t="shared" ref="AV10" si="273">AU10</f>
        <v>12000</v>
      </c>
      <c r="AW10" s="176">
        <f t="shared" ref="AW10" si="274">AV10</f>
        <v>12000</v>
      </c>
      <c r="AX10" s="176">
        <f>AW10*(1+Assumptions!$F$7)</f>
        <v>24000</v>
      </c>
      <c r="AY10" s="176">
        <f t="shared" ref="AY10" si="275">AX10</f>
        <v>24000</v>
      </c>
      <c r="AZ10" s="176">
        <f t="shared" ref="AZ10" si="276">AY10</f>
        <v>24000</v>
      </c>
      <c r="BA10" s="176">
        <f t="shared" ref="BA10" si="277">AZ10</f>
        <v>24000</v>
      </c>
      <c r="BB10" s="176">
        <f t="shared" ref="BB10" si="278">BA10</f>
        <v>24000</v>
      </c>
      <c r="BC10" s="176">
        <f t="shared" ref="BC10" si="279">BB10</f>
        <v>24000</v>
      </c>
      <c r="BD10" s="176">
        <f t="shared" ref="BD10" si="280">BC10</f>
        <v>24000</v>
      </c>
      <c r="BE10" s="176">
        <f t="shared" ref="BE10" si="281">BD10</f>
        <v>24000</v>
      </c>
      <c r="BF10" s="176">
        <f t="shared" ref="BF10" si="282">BE10</f>
        <v>24000</v>
      </c>
      <c r="BG10" s="176">
        <f t="shared" ref="BG10" si="283">BF10</f>
        <v>24000</v>
      </c>
      <c r="BH10" s="176">
        <f t="shared" ref="BH10" si="284">BG10</f>
        <v>24000</v>
      </c>
      <c r="BI10" s="176">
        <f t="shared" ref="BI10" si="285">BH10</f>
        <v>24000</v>
      </c>
    </row>
    <row r="11" spans="1:61">
      <c r="A11" s="177" t="s">
        <v>170</v>
      </c>
      <c r="B11" s="176">
        <f>'Loan Schedule'!B11</f>
        <v>0</v>
      </c>
      <c r="C11" s="176">
        <f>'Loan Schedule'!C11</f>
        <v>0</v>
      </c>
      <c r="D11" s="176">
        <f>'Loan Schedule'!D11</f>
        <v>0</v>
      </c>
      <c r="E11" s="176">
        <f>'Loan Schedule'!E11</f>
        <v>0</v>
      </c>
      <c r="F11" s="176">
        <f>'Loan Schedule'!F11</f>
        <v>0</v>
      </c>
      <c r="G11" s="176">
        <f>'Loan Schedule'!G11</f>
        <v>0</v>
      </c>
      <c r="H11" s="176">
        <f>'Loan Schedule'!H11</f>
        <v>0</v>
      </c>
      <c r="I11" s="176">
        <f>'Loan Schedule'!I11</f>
        <v>0</v>
      </c>
      <c r="J11" s="176">
        <f>'Loan Schedule'!J11</f>
        <v>0</v>
      </c>
      <c r="K11" s="176">
        <f>'Loan Schedule'!K11</f>
        <v>0</v>
      </c>
      <c r="L11" s="176">
        <f>'Loan Schedule'!L11</f>
        <v>0</v>
      </c>
      <c r="M11" s="176">
        <f>'Loan Schedule'!M11</f>
        <v>0</v>
      </c>
      <c r="N11" s="176">
        <f>'Loan Schedule'!N11</f>
        <v>0</v>
      </c>
      <c r="O11" s="176">
        <f>'Loan Schedule'!O11</f>
        <v>0</v>
      </c>
      <c r="P11" s="176">
        <f>'Loan Schedule'!P11</f>
        <v>0</v>
      </c>
      <c r="Q11" s="176">
        <f>'Loan Schedule'!Q11</f>
        <v>0</v>
      </c>
      <c r="R11" s="176">
        <f>'Loan Schedule'!R11</f>
        <v>0</v>
      </c>
      <c r="S11" s="176">
        <f>'Loan Schedule'!S11</f>
        <v>0</v>
      </c>
      <c r="T11" s="176">
        <f>'Loan Schedule'!T11</f>
        <v>0</v>
      </c>
      <c r="U11" s="176">
        <f>'Loan Schedule'!U11</f>
        <v>0</v>
      </c>
      <c r="V11" s="176">
        <f>'Loan Schedule'!V11</f>
        <v>0</v>
      </c>
      <c r="W11" s="176">
        <f>'Loan Schedule'!W11</f>
        <v>0</v>
      </c>
      <c r="X11" s="176">
        <f>'Loan Schedule'!X11</f>
        <v>0</v>
      </c>
      <c r="Y11" s="176">
        <f>'Loan Schedule'!Y11</f>
        <v>0</v>
      </c>
      <c r="Z11" s="176">
        <f>'Loan Schedule'!Z11</f>
        <v>0</v>
      </c>
      <c r="AA11" s="176">
        <f>'Loan Schedule'!AA11</f>
        <v>0</v>
      </c>
      <c r="AB11" s="176">
        <f>'Loan Schedule'!AB11</f>
        <v>0</v>
      </c>
      <c r="AC11" s="176">
        <f>'Loan Schedule'!AC11</f>
        <v>0</v>
      </c>
      <c r="AD11" s="176">
        <f>'Loan Schedule'!AD11</f>
        <v>0</v>
      </c>
      <c r="AE11" s="176">
        <f>'Loan Schedule'!AE11</f>
        <v>0</v>
      </c>
      <c r="AF11" s="176">
        <f>'Loan Schedule'!AF11</f>
        <v>0</v>
      </c>
      <c r="AG11" s="176">
        <f>'Loan Schedule'!AG11</f>
        <v>0</v>
      </c>
      <c r="AH11" s="176">
        <f>'Loan Schedule'!AH11</f>
        <v>0</v>
      </c>
      <c r="AI11" s="176">
        <f>'Loan Schedule'!AI11</f>
        <v>0</v>
      </c>
      <c r="AJ11" s="176">
        <f>'Loan Schedule'!AJ11</f>
        <v>0</v>
      </c>
      <c r="AK11" s="176">
        <f>'Loan Schedule'!AK11</f>
        <v>0</v>
      </c>
      <c r="AL11" s="176">
        <f>'Loan Schedule'!AL11</f>
        <v>0</v>
      </c>
      <c r="AM11" s="176">
        <f>'Loan Schedule'!AM11</f>
        <v>0</v>
      </c>
      <c r="AN11" s="176">
        <f>'Loan Schedule'!AN11</f>
        <v>0</v>
      </c>
      <c r="AO11" s="176">
        <f>'Loan Schedule'!AO11</f>
        <v>0</v>
      </c>
      <c r="AP11" s="176">
        <f>'Loan Schedule'!AP11</f>
        <v>0</v>
      </c>
      <c r="AQ11" s="176">
        <f>'Loan Schedule'!AQ11</f>
        <v>0</v>
      </c>
      <c r="AR11" s="176">
        <f>'Loan Schedule'!AR11</f>
        <v>0</v>
      </c>
      <c r="AS11" s="176">
        <f>'Loan Schedule'!AS11</f>
        <v>0</v>
      </c>
      <c r="AT11" s="176">
        <f>'Loan Schedule'!AT11</f>
        <v>0</v>
      </c>
      <c r="AU11" s="176">
        <f>'Loan Schedule'!AU11</f>
        <v>0</v>
      </c>
      <c r="AV11" s="176">
        <f>'Loan Schedule'!AV11</f>
        <v>0</v>
      </c>
      <c r="AW11" s="176">
        <f>'Loan Schedule'!AW11</f>
        <v>0</v>
      </c>
      <c r="AX11" s="176">
        <f>'Loan Schedule'!AX11</f>
        <v>0</v>
      </c>
      <c r="AY11" s="176">
        <f>'Loan Schedule'!AY11</f>
        <v>0</v>
      </c>
      <c r="AZ11" s="176">
        <f>'Loan Schedule'!AZ11</f>
        <v>0</v>
      </c>
      <c r="BA11" s="176">
        <f>'Loan Schedule'!BA11</f>
        <v>0</v>
      </c>
      <c r="BB11" s="176">
        <f>'Loan Schedule'!BB11</f>
        <v>0</v>
      </c>
      <c r="BC11" s="176">
        <f>'Loan Schedule'!BC11</f>
        <v>0</v>
      </c>
      <c r="BD11" s="176">
        <f>'Loan Schedule'!BD11</f>
        <v>0</v>
      </c>
      <c r="BE11" s="176">
        <f>'Loan Schedule'!BE11</f>
        <v>0</v>
      </c>
      <c r="BF11" s="176">
        <f>'Loan Schedule'!BF11</f>
        <v>0</v>
      </c>
      <c r="BG11" s="176">
        <f>'Loan Schedule'!BG11</f>
        <v>0</v>
      </c>
      <c r="BH11" s="176">
        <f>'Loan Schedule'!BH11</f>
        <v>0</v>
      </c>
      <c r="BI11" s="176">
        <f>'Loan Schedule'!BI11</f>
        <v>0</v>
      </c>
    </row>
    <row r="12" spans="1:61">
      <c r="A12" s="177" t="s">
        <v>171</v>
      </c>
      <c r="B12" s="91">
        <f>Depreciation!C39</f>
        <v>11125</v>
      </c>
      <c r="C12" s="91">
        <f>Depreciation!D39</f>
        <v>11125</v>
      </c>
      <c r="D12" s="91">
        <f>Depreciation!E39</f>
        <v>11125</v>
      </c>
      <c r="E12" s="91">
        <f>Depreciation!F39</f>
        <v>11125</v>
      </c>
      <c r="F12" s="91">
        <f>Depreciation!G39</f>
        <v>11125</v>
      </c>
      <c r="G12" s="91">
        <f>Depreciation!H39</f>
        <v>11125</v>
      </c>
      <c r="H12" s="91">
        <f>Depreciation!I39</f>
        <v>11125</v>
      </c>
      <c r="I12" s="91">
        <f>Depreciation!J39</f>
        <v>11125</v>
      </c>
      <c r="J12" s="91">
        <f>Depreciation!K39</f>
        <v>11125</v>
      </c>
      <c r="K12" s="91">
        <f>Depreciation!L39</f>
        <v>11125</v>
      </c>
      <c r="L12" s="91">
        <f>Depreciation!M39</f>
        <v>11125</v>
      </c>
      <c r="M12" s="91">
        <f>Depreciation!N39</f>
        <v>11125</v>
      </c>
      <c r="N12" s="91">
        <f>Depreciation!O39</f>
        <v>11125</v>
      </c>
      <c r="O12" s="91">
        <f>Depreciation!P39</f>
        <v>11125</v>
      </c>
      <c r="P12" s="91">
        <f>Depreciation!Q39</f>
        <v>11125</v>
      </c>
      <c r="Q12" s="91">
        <f>Depreciation!R39</f>
        <v>11125</v>
      </c>
      <c r="R12" s="91">
        <f>Depreciation!S39</f>
        <v>11125</v>
      </c>
      <c r="S12" s="91">
        <f>Depreciation!T39</f>
        <v>11125</v>
      </c>
      <c r="T12" s="91">
        <f>Depreciation!U39</f>
        <v>11125</v>
      </c>
      <c r="U12" s="91">
        <f>Depreciation!V39</f>
        <v>11125</v>
      </c>
      <c r="V12" s="91">
        <f>Depreciation!W39</f>
        <v>11125</v>
      </c>
      <c r="W12" s="91">
        <f>Depreciation!X39</f>
        <v>11125</v>
      </c>
      <c r="X12" s="91">
        <f>Depreciation!Y39</f>
        <v>11125</v>
      </c>
      <c r="Y12" s="91">
        <f>Depreciation!Z39</f>
        <v>11125</v>
      </c>
      <c r="Z12" s="91">
        <f>Depreciation!AA39</f>
        <v>11125</v>
      </c>
      <c r="AA12" s="91">
        <f>Depreciation!AB39</f>
        <v>11125</v>
      </c>
      <c r="AB12" s="91">
        <f>Depreciation!AC39</f>
        <v>11125</v>
      </c>
      <c r="AC12" s="91">
        <f>Depreciation!AD39</f>
        <v>11125</v>
      </c>
      <c r="AD12" s="91">
        <f>Depreciation!AE39</f>
        <v>11125</v>
      </c>
      <c r="AE12" s="91">
        <f>Depreciation!AF39</f>
        <v>11125</v>
      </c>
      <c r="AF12" s="91">
        <f>Depreciation!AG39</f>
        <v>11125</v>
      </c>
      <c r="AG12" s="91">
        <f>Depreciation!AH39</f>
        <v>11125</v>
      </c>
      <c r="AH12" s="91">
        <f>Depreciation!AI39</f>
        <v>11125</v>
      </c>
      <c r="AI12" s="91">
        <f>Depreciation!AJ39</f>
        <v>11125</v>
      </c>
      <c r="AJ12" s="91">
        <f>Depreciation!AK39</f>
        <v>11125</v>
      </c>
      <c r="AK12" s="91">
        <f>Depreciation!AL39</f>
        <v>11125</v>
      </c>
      <c r="AL12" s="91">
        <f>Depreciation!AM39</f>
        <v>11125</v>
      </c>
      <c r="AM12" s="91">
        <f>Depreciation!AN39</f>
        <v>11125</v>
      </c>
      <c r="AN12" s="91">
        <f>Depreciation!AO39</f>
        <v>11125</v>
      </c>
      <c r="AO12" s="91">
        <f>Depreciation!AP39</f>
        <v>11125</v>
      </c>
      <c r="AP12" s="91">
        <f>Depreciation!AQ39</f>
        <v>11125</v>
      </c>
      <c r="AQ12" s="91">
        <f>Depreciation!AR39</f>
        <v>11125</v>
      </c>
      <c r="AR12" s="91">
        <f>Depreciation!AS39</f>
        <v>11125</v>
      </c>
      <c r="AS12" s="91">
        <f>Depreciation!AT39</f>
        <v>11125</v>
      </c>
      <c r="AT12" s="91">
        <f>Depreciation!AU39</f>
        <v>11125</v>
      </c>
      <c r="AU12" s="91">
        <f>Depreciation!AV39</f>
        <v>11125</v>
      </c>
      <c r="AV12" s="91">
        <f>Depreciation!AW39</f>
        <v>11125</v>
      </c>
      <c r="AW12" s="91">
        <f>Depreciation!AX39</f>
        <v>11125</v>
      </c>
      <c r="AX12" s="91">
        <f>Depreciation!AY39</f>
        <v>11125</v>
      </c>
      <c r="AY12" s="91">
        <f>Depreciation!AZ39</f>
        <v>11125</v>
      </c>
      <c r="AZ12" s="91">
        <f>Depreciation!BA39</f>
        <v>11125</v>
      </c>
      <c r="BA12" s="91">
        <f>Depreciation!BB39</f>
        <v>11125</v>
      </c>
      <c r="BB12" s="91">
        <f>Depreciation!BC39</f>
        <v>11125</v>
      </c>
      <c r="BC12" s="91">
        <f>Depreciation!BD39</f>
        <v>11125</v>
      </c>
      <c r="BD12" s="91">
        <f>Depreciation!BE39</f>
        <v>11125</v>
      </c>
      <c r="BE12" s="91">
        <f>Depreciation!BF39</f>
        <v>11125</v>
      </c>
      <c r="BF12" s="91">
        <f>Depreciation!BG39</f>
        <v>11125</v>
      </c>
      <c r="BG12" s="91">
        <f>Depreciation!BH39</f>
        <v>11125</v>
      </c>
      <c r="BH12" s="91">
        <f>Depreciation!BI39</f>
        <v>11125</v>
      </c>
      <c r="BI12" s="91">
        <f>Depreciation!BJ39</f>
        <v>11125</v>
      </c>
    </row>
    <row r="13" spans="1:61">
      <c r="A13" s="177"/>
      <c r="B13" s="178"/>
      <c r="C13" s="178"/>
      <c r="D13" s="178"/>
      <c r="E13" s="17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78"/>
      <c r="Q13" s="178"/>
      <c r="R13" s="178"/>
      <c r="S13" s="178"/>
      <c r="T13" s="178"/>
      <c r="U13" s="178"/>
      <c r="V13" s="178"/>
      <c r="W13" s="178"/>
      <c r="X13" s="178"/>
      <c r="Y13" s="178"/>
      <c r="Z13" s="178"/>
      <c r="AA13" s="178"/>
      <c r="AB13" s="178"/>
      <c r="AC13" s="178"/>
      <c r="AD13" s="178"/>
      <c r="AE13" s="178"/>
      <c r="AF13" s="178"/>
      <c r="AG13" s="178"/>
      <c r="AH13" s="178"/>
      <c r="AI13" s="178"/>
      <c r="AJ13" s="178"/>
      <c r="AK13" s="178"/>
      <c r="AL13" s="178"/>
      <c r="AM13" s="178"/>
      <c r="AN13" s="178"/>
      <c r="AO13" s="178"/>
      <c r="AP13" s="178"/>
      <c r="AQ13" s="178"/>
      <c r="AR13" s="178"/>
      <c r="AS13" s="178"/>
      <c r="AT13" s="178"/>
      <c r="AU13" s="178"/>
      <c r="AV13" s="178"/>
      <c r="AW13" s="178"/>
      <c r="AX13" s="178"/>
      <c r="AY13" s="178"/>
      <c r="AZ13" s="178"/>
      <c r="BA13" s="178"/>
      <c r="BB13" s="178"/>
      <c r="BC13" s="178"/>
      <c r="BD13" s="178"/>
      <c r="BE13" s="178"/>
      <c r="BF13" s="178"/>
      <c r="BG13" s="178"/>
      <c r="BH13" s="178"/>
      <c r="BI13" s="178"/>
    </row>
    <row r="14" spans="1:61">
      <c r="A14" s="94" t="s">
        <v>35</v>
      </c>
      <c r="B14" s="179">
        <f t="shared" ref="B14:AG14" si="286">SUM(B3:B12)</f>
        <v>160352.75</v>
      </c>
      <c r="C14" s="179">
        <f t="shared" si="286"/>
        <v>160904</v>
      </c>
      <c r="D14" s="179">
        <f t="shared" si="286"/>
        <v>161471.78750000001</v>
      </c>
      <c r="E14" s="179">
        <f t="shared" si="286"/>
        <v>162056.60862499999</v>
      </c>
      <c r="F14" s="179">
        <f t="shared" si="286"/>
        <v>162658.97438375</v>
      </c>
      <c r="G14" s="179">
        <f t="shared" si="286"/>
        <v>163279.41111526251</v>
      </c>
      <c r="H14" s="179">
        <f t="shared" si="286"/>
        <v>163918.46094872037</v>
      </c>
      <c r="I14" s="179">
        <f t="shared" si="286"/>
        <v>164576.682277182</v>
      </c>
      <c r="J14" s="179">
        <f t="shared" si="286"/>
        <v>165254.65024549744</v>
      </c>
      <c r="K14" s="179">
        <f t="shared" si="286"/>
        <v>165952.95725286237</v>
      </c>
      <c r="L14" s="179">
        <f t="shared" si="286"/>
        <v>166672.21347044825</v>
      </c>
      <c r="M14" s="179">
        <f t="shared" si="286"/>
        <v>167413.04737456169</v>
      </c>
      <c r="N14" s="179">
        <f t="shared" si="286"/>
        <v>231859.81877868457</v>
      </c>
      <c r="O14" s="179">
        <f t="shared" si="286"/>
        <v>226775.793156553</v>
      </c>
      <c r="P14" s="179">
        <f t="shared" si="286"/>
        <v>230815.96413887496</v>
      </c>
      <c r="Q14" s="179">
        <f t="shared" si="286"/>
        <v>235260.15221942915</v>
      </c>
      <c r="R14" s="179">
        <f t="shared" si="286"/>
        <v>240148.75910803871</v>
      </c>
      <c r="S14" s="179">
        <f t="shared" si="286"/>
        <v>245526.22668550926</v>
      </c>
      <c r="T14" s="179">
        <f t="shared" si="286"/>
        <v>251441.44102072687</v>
      </c>
      <c r="U14" s="179">
        <f t="shared" si="286"/>
        <v>257948.1767894662</v>
      </c>
      <c r="V14" s="179">
        <f t="shared" si="286"/>
        <v>265105.5861350795</v>
      </c>
      <c r="W14" s="179">
        <f t="shared" si="286"/>
        <v>272978.73641525413</v>
      </c>
      <c r="X14" s="179">
        <f t="shared" si="286"/>
        <v>281639.2017234462</v>
      </c>
      <c r="Y14" s="179">
        <f t="shared" si="286"/>
        <v>291165.71356245747</v>
      </c>
      <c r="Z14" s="179">
        <f t="shared" si="286"/>
        <v>402804.43924058037</v>
      </c>
      <c r="AA14" s="179">
        <f t="shared" si="286"/>
        <v>387084.92232760938</v>
      </c>
      <c r="AB14" s="179">
        <f t="shared" si="286"/>
        <v>392861.56094398984</v>
      </c>
      <c r="AC14" s="179">
        <f t="shared" si="286"/>
        <v>398927.03149118932</v>
      </c>
      <c r="AD14" s="179">
        <f t="shared" si="286"/>
        <v>405295.7755657488</v>
      </c>
      <c r="AE14" s="179">
        <f t="shared" si="286"/>
        <v>411982.95684403623</v>
      </c>
      <c r="AF14" s="179">
        <f t="shared" si="286"/>
        <v>419004.49718623806</v>
      </c>
      <c r="AG14" s="179">
        <f t="shared" si="286"/>
        <v>426377.11454554996</v>
      </c>
      <c r="AH14" s="179">
        <f t="shared" ref="AH14:BI14" si="287">SUM(AH3:AH12)</f>
        <v>434118.3627728275</v>
      </c>
      <c r="AI14" s="179">
        <f t="shared" si="287"/>
        <v>442246.67341146886</v>
      </c>
      <c r="AJ14" s="179">
        <f t="shared" si="287"/>
        <v>450781.39958204236</v>
      </c>
      <c r="AK14" s="179">
        <f t="shared" si="287"/>
        <v>459742.86206114449</v>
      </c>
      <c r="AL14" s="179">
        <f t="shared" si="287"/>
        <v>651044.60974753508</v>
      </c>
      <c r="AM14" s="179">
        <f t="shared" si="287"/>
        <v>626099.80871407851</v>
      </c>
      <c r="AN14" s="179">
        <f t="shared" si="287"/>
        <v>636473.82171644911</v>
      </c>
      <c r="AO14" s="179">
        <f t="shared" si="287"/>
        <v>647366.53536893823</v>
      </c>
      <c r="AP14" s="179">
        <f t="shared" si="287"/>
        <v>658803.88470405177</v>
      </c>
      <c r="AQ14" s="179">
        <f t="shared" si="287"/>
        <v>670813.10150592111</v>
      </c>
      <c r="AR14" s="179">
        <f t="shared" si="287"/>
        <v>683422.77914788376</v>
      </c>
      <c r="AS14" s="179">
        <f t="shared" si="287"/>
        <v>696662.94067194464</v>
      </c>
      <c r="AT14" s="179">
        <f t="shared" si="287"/>
        <v>710565.11027220846</v>
      </c>
      <c r="AU14" s="179">
        <f t="shared" si="287"/>
        <v>725162.38835248572</v>
      </c>
      <c r="AV14" s="179">
        <f t="shared" si="287"/>
        <v>740489.53033677652</v>
      </c>
      <c r="AW14" s="179">
        <f t="shared" si="287"/>
        <v>756583.02942028211</v>
      </c>
      <c r="AX14" s="179">
        <f t="shared" si="287"/>
        <v>1113722.0706596295</v>
      </c>
      <c r="AY14" s="179">
        <f t="shared" si="287"/>
        <v>1080706.9618241943</v>
      </c>
      <c r="AZ14" s="179">
        <f t="shared" si="287"/>
        <v>1099337.1987007374</v>
      </c>
      <c r="BA14" s="179">
        <f t="shared" si="287"/>
        <v>1118898.9474211077</v>
      </c>
      <c r="BB14" s="179">
        <f t="shared" si="287"/>
        <v>1139438.7835774964</v>
      </c>
      <c r="BC14" s="179">
        <f t="shared" si="287"/>
        <v>1161005.6115417047</v>
      </c>
      <c r="BD14" s="179">
        <f t="shared" si="287"/>
        <v>1183650.7809041231</v>
      </c>
      <c r="BE14" s="179">
        <f t="shared" si="287"/>
        <v>1207428.2087346627</v>
      </c>
      <c r="BF14" s="179">
        <f t="shared" si="287"/>
        <v>1232394.5079567293</v>
      </c>
      <c r="BG14" s="179">
        <f t="shared" si="287"/>
        <v>1258609.1221398991</v>
      </c>
      <c r="BH14" s="179">
        <f t="shared" si="287"/>
        <v>1286134.4670322272</v>
      </c>
      <c r="BI14" s="179">
        <f t="shared" si="287"/>
        <v>1315036.0791691721</v>
      </c>
    </row>
    <row r="15" spans="1:61">
      <c r="A15" s="156"/>
      <c r="B15" s="180"/>
      <c r="C15" s="180"/>
      <c r="D15" s="181"/>
      <c r="E15" s="181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</row>
    <row r="16" spans="1:61" ht="17.399999999999999">
      <c r="A16" s="174" t="s">
        <v>168</v>
      </c>
      <c r="B16" s="171" t="s">
        <v>1</v>
      </c>
      <c r="C16" s="171" t="s">
        <v>2</v>
      </c>
      <c r="D16" s="171" t="s">
        <v>3</v>
      </c>
      <c r="E16" s="171" t="s">
        <v>4</v>
      </c>
      <c r="F16" s="171" t="s">
        <v>5</v>
      </c>
    </row>
    <row r="17" spans="1:6">
      <c r="A17" s="175" t="str">
        <f>A3</f>
        <v>Payroll</v>
      </c>
      <c r="B17" s="176">
        <f>SUM(B3:M3)</f>
        <v>951033</v>
      </c>
      <c r="C17" s="176">
        <f>SUM(N3:Y3)</f>
        <v>1059585.9083333337</v>
      </c>
      <c r="D17" s="176">
        <f>SUM(Z3:AK3)</f>
        <v>1233854.0775000001</v>
      </c>
      <c r="E17" s="176">
        <f>SUM(AL3:AW3)</f>
        <v>1297355.8134166666</v>
      </c>
      <c r="F17" s="176">
        <f>SUM(AX3:BI3)</f>
        <v>1363187.1915750001</v>
      </c>
    </row>
    <row r="18" spans="1:6" ht="14.25" customHeight="1">
      <c r="A18" s="175" t="str">
        <f>A4</f>
        <v>Rent &amp; Utilities</v>
      </c>
      <c r="B18" s="176">
        <f>SUM(B4:M4)</f>
        <v>192000</v>
      </c>
      <c r="C18" s="176">
        <f>SUM(N4:Y4)</f>
        <v>197760</v>
      </c>
      <c r="D18" s="176">
        <f>SUM(Z4:AK4)</f>
        <v>203692.79999999996</v>
      </c>
      <c r="E18" s="176">
        <f>SUM(AL4:AW4)</f>
        <v>209803.58400000006</v>
      </c>
      <c r="F18" s="176">
        <f>SUM(AX4:BI4)</f>
        <v>216097.69151999996</v>
      </c>
    </row>
    <row r="19" spans="1:6">
      <c r="A19" s="175" t="str">
        <f t="shared" ref="A19:A24" si="288">A5</f>
        <v>Regulatory &amp; Compliance</v>
      </c>
      <c r="B19" s="176">
        <f t="shared" ref="B19:B24" si="289">SUM(B5:M5)</f>
        <v>109200</v>
      </c>
      <c r="C19" s="176">
        <f t="shared" ref="C19:C24" si="290">SUM(N5:Y5)</f>
        <v>218400</v>
      </c>
      <c r="D19" s="176">
        <f t="shared" ref="D19:D24" si="291">SUM(Z5:AK5)</f>
        <v>436800</v>
      </c>
      <c r="E19" s="176">
        <f t="shared" ref="E19:E24" si="292">SUM(AL5:AW5)</f>
        <v>873600</v>
      </c>
      <c r="F19" s="176">
        <f t="shared" ref="F19:F24" si="293">SUM(AX5:BI5)</f>
        <v>1747200</v>
      </c>
    </row>
    <row r="20" spans="1:6">
      <c r="A20" s="175" t="str">
        <f t="shared" si="288"/>
        <v>Maintenance &amp; Equipment Upkeep</v>
      </c>
      <c r="B20" s="176">
        <f t="shared" si="289"/>
        <v>138000</v>
      </c>
      <c r="C20" s="176">
        <f t="shared" si="290"/>
        <v>276000</v>
      </c>
      <c r="D20" s="176">
        <f t="shared" si="291"/>
        <v>552000</v>
      </c>
      <c r="E20" s="176">
        <f t="shared" si="292"/>
        <v>1104000</v>
      </c>
      <c r="F20" s="176">
        <f t="shared" si="293"/>
        <v>2208000</v>
      </c>
    </row>
    <row r="21" spans="1:6">
      <c r="A21" s="175" t="str">
        <f t="shared" si="288"/>
        <v>Insurance &amp; Security</v>
      </c>
      <c r="B21" s="176">
        <f t="shared" si="289"/>
        <v>96000</v>
      </c>
      <c r="C21" s="176">
        <f t="shared" si="290"/>
        <v>192000</v>
      </c>
      <c r="D21" s="176">
        <f t="shared" si="291"/>
        <v>384000</v>
      </c>
      <c r="E21" s="176">
        <f t="shared" si="292"/>
        <v>768000</v>
      </c>
      <c r="F21" s="176">
        <f t="shared" si="293"/>
        <v>1536000</v>
      </c>
    </row>
    <row r="22" spans="1:6">
      <c r="A22" s="175" t="str">
        <f t="shared" si="288"/>
        <v>Marketing &amp; Advertising</v>
      </c>
      <c r="B22" s="176">
        <f t="shared" si="289"/>
        <v>260778.54319328463</v>
      </c>
      <c r="C22" s="176">
        <f t="shared" si="290"/>
        <v>785419.6614001866</v>
      </c>
      <c r="D22" s="176">
        <f t="shared" si="291"/>
        <v>1751380.7184724254</v>
      </c>
      <c r="E22" s="176">
        <f t="shared" si="292"/>
        <v>3145228.1425418886</v>
      </c>
      <c r="F22" s="176">
        <f t="shared" si="293"/>
        <v>5648377.8565666834</v>
      </c>
    </row>
    <row r="23" spans="1:6">
      <c r="A23" s="175" t="str">
        <f t="shared" si="288"/>
        <v>R&amp;D &amp; Prototyping</v>
      </c>
      <c r="B23" s="176">
        <f t="shared" si="289"/>
        <v>66000</v>
      </c>
      <c r="C23" s="176">
        <f t="shared" si="290"/>
        <v>132000</v>
      </c>
      <c r="D23" s="176">
        <f t="shared" si="291"/>
        <v>264000</v>
      </c>
      <c r="E23" s="176">
        <f t="shared" si="292"/>
        <v>528000</v>
      </c>
      <c r="F23" s="176">
        <f t="shared" si="293"/>
        <v>1056000</v>
      </c>
    </row>
    <row r="24" spans="1:6">
      <c r="A24" s="175" t="str">
        <f t="shared" si="288"/>
        <v>Miscellaneous Expenses</v>
      </c>
      <c r="B24" s="176">
        <f t="shared" si="289"/>
        <v>18000</v>
      </c>
      <c r="C24" s="176">
        <f t="shared" si="290"/>
        <v>36000</v>
      </c>
      <c r="D24" s="176">
        <f t="shared" si="291"/>
        <v>72000</v>
      </c>
      <c r="E24" s="176">
        <f t="shared" si="292"/>
        <v>144000</v>
      </c>
      <c r="F24" s="176">
        <f t="shared" si="293"/>
        <v>288000</v>
      </c>
    </row>
    <row r="25" spans="1:6">
      <c r="A25" s="175" t="str">
        <f t="shared" ref="A25:A26" si="294">A11</f>
        <v>Interest Expense</v>
      </c>
      <c r="B25" s="176">
        <f t="shared" ref="B25:B26" si="295">SUM(B11:M11)</f>
        <v>0</v>
      </c>
      <c r="C25" s="176">
        <f t="shared" ref="C25:C26" si="296">SUM(N11:Y11)</f>
        <v>0</v>
      </c>
      <c r="D25" s="176">
        <f t="shared" ref="D25:D26" si="297">SUM(Z11:AK11)</f>
        <v>0</v>
      </c>
      <c r="E25" s="176">
        <f t="shared" ref="E25:E26" si="298">SUM(AL11:AW11)</f>
        <v>0</v>
      </c>
      <c r="F25" s="176">
        <f t="shared" ref="F25:F26" si="299">SUM(AX11:BI11)</f>
        <v>0</v>
      </c>
    </row>
    <row r="26" spans="1:6">
      <c r="A26" s="175" t="str">
        <f t="shared" si="294"/>
        <v>Depreciation</v>
      </c>
      <c r="B26" s="176">
        <f t="shared" si="295"/>
        <v>133500</v>
      </c>
      <c r="C26" s="176">
        <f t="shared" si="296"/>
        <v>133500</v>
      </c>
      <c r="D26" s="176">
        <f t="shared" si="297"/>
        <v>133500</v>
      </c>
      <c r="E26" s="176">
        <f t="shared" si="298"/>
        <v>133500</v>
      </c>
      <c r="F26" s="176">
        <f t="shared" si="299"/>
        <v>133500</v>
      </c>
    </row>
    <row r="27" spans="1:6">
      <c r="A27" s="177"/>
      <c r="B27" s="178"/>
      <c r="C27" s="178"/>
      <c r="D27" s="178"/>
      <c r="E27" s="178"/>
      <c r="F27" s="178"/>
    </row>
    <row r="28" spans="1:6">
      <c r="A28" s="94" t="s">
        <v>35</v>
      </c>
      <c r="B28" s="179">
        <f>SUM(B17:B26)</f>
        <v>1964511.5431932847</v>
      </c>
      <c r="C28" s="179">
        <f>SUM(C17:C26)</f>
        <v>3030665.56973352</v>
      </c>
      <c r="D28" s="179">
        <f>SUM(D17:D26)</f>
        <v>5031227.5959724262</v>
      </c>
      <c r="E28" s="179">
        <f>SUM(E17:E26)</f>
        <v>8203487.5399585553</v>
      </c>
      <c r="F28" s="179">
        <f>SUM(F17:F26)</f>
        <v>14196362.739661682</v>
      </c>
    </row>
    <row r="29" spans="1:6">
      <c r="D29" s="162"/>
      <c r="E29" s="162"/>
    </row>
    <row r="30" spans="1:6">
      <c r="D30" s="162"/>
      <c r="E30" s="162"/>
    </row>
    <row r="31" spans="1:6">
      <c r="D31" s="162"/>
      <c r="E31" s="162"/>
    </row>
    <row r="32" spans="1:6">
      <c r="D32" s="162"/>
      <c r="E32" s="162"/>
    </row>
    <row r="33" spans="4:5">
      <c r="D33" s="162"/>
      <c r="E33" s="162"/>
    </row>
    <row r="34" spans="4:5">
      <c r="D34" s="162"/>
      <c r="E34" s="162"/>
    </row>
    <row r="35" spans="4:5">
      <c r="D35" s="162"/>
      <c r="E35" s="162"/>
    </row>
  </sheetData>
  <pageMargins left="0.7" right="0.7" top="0.75" bottom="0.75" header="0.3" footer="0.3"/>
  <pageSetup orientation="portrait"/>
  <ignoredErrors>
    <ignoredError sqref="N11:BI11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3"/>
  <dimension ref="A1:BK81"/>
  <sheetViews>
    <sheetView showGridLines="0" zoomScale="85" zoomScaleNormal="85" workbookViewId="0">
      <selection activeCell="B16" sqref="B16"/>
    </sheetView>
  </sheetViews>
  <sheetFormatPr defaultColWidth="9.109375" defaultRowHeight="15.6"/>
  <cols>
    <col min="1" max="1" width="50.33203125" style="151" customWidth="1"/>
    <col min="2" max="2" width="18.88671875" style="151" customWidth="1"/>
    <col min="3" max="3" width="15" style="151" customWidth="1"/>
    <col min="4" max="12" width="15" style="113" customWidth="1"/>
    <col min="13" max="17" width="15" style="149" customWidth="1"/>
    <col min="18" max="62" width="15" style="69" customWidth="1"/>
    <col min="63" max="63" width="9.109375" style="69" customWidth="1"/>
    <col min="64" max="16384" width="9.109375" style="69"/>
  </cols>
  <sheetData>
    <row r="1" spans="1:63">
      <c r="A1" s="163"/>
      <c r="B1" s="164"/>
      <c r="C1" s="165"/>
      <c r="D1" s="165"/>
      <c r="E1" s="165"/>
      <c r="F1" s="165"/>
      <c r="G1" s="165"/>
      <c r="H1" s="165"/>
      <c r="I1" s="167"/>
      <c r="J1" s="167"/>
      <c r="K1" s="167"/>
      <c r="L1" s="167"/>
      <c r="M1" s="167"/>
      <c r="N1" s="167"/>
      <c r="O1" s="167"/>
      <c r="P1" s="167"/>
      <c r="Q1" s="167"/>
      <c r="R1" s="167"/>
      <c r="S1" s="167"/>
      <c r="T1" s="167"/>
      <c r="U1" s="167"/>
      <c r="V1" s="167"/>
      <c r="W1" s="167"/>
      <c r="X1" s="167"/>
      <c r="Y1" s="167"/>
      <c r="Z1" s="167"/>
      <c r="AA1" s="167"/>
      <c r="AB1" s="167"/>
      <c r="AC1" s="167"/>
      <c r="AD1" s="167"/>
      <c r="AE1" s="167"/>
      <c r="AF1" s="167"/>
      <c r="AG1" s="167"/>
      <c r="AH1" s="167"/>
      <c r="AI1" s="167"/>
      <c r="AJ1" s="167"/>
      <c r="AK1" s="167"/>
      <c r="AL1" s="167"/>
      <c r="AM1" s="167"/>
      <c r="AN1" s="167"/>
      <c r="AO1" s="167"/>
      <c r="AP1" s="167"/>
      <c r="AQ1" s="167"/>
      <c r="AR1" s="167"/>
      <c r="AS1" s="167"/>
      <c r="AT1" s="167"/>
      <c r="AU1" s="167"/>
      <c r="AV1" s="167"/>
      <c r="AW1" s="167"/>
      <c r="AX1" s="167"/>
      <c r="AY1" s="167"/>
      <c r="AZ1" s="167"/>
      <c r="BA1" s="167"/>
      <c r="BB1" s="167"/>
      <c r="BC1" s="167"/>
      <c r="BD1" s="167"/>
      <c r="BE1" s="167"/>
      <c r="BF1" s="167"/>
      <c r="BG1" s="167"/>
      <c r="BH1" s="167"/>
      <c r="BI1" s="167"/>
      <c r="BJ1" s="167"/>
    </row>
    <row r="2" spans="1:63" s="280" customFormat="1" ht="21">
      <c r="A2" s="316" t="s">
        <v>315</v>
      </c>
      <c r="B2" s="317" t="s">
        <v>15</v>
      </c>
      <c r="C2" s="317" t="s">
        <v>41</v>
      </c>
      <c r="D2" s="317" t="s">
        <v>42</v>
      </c>
      <c r="E2" s="317" t="s">
        <v>43</v>
      </c>
      <c r="F2" s="317" t="s">
        <v>44</v>
      </c>
      <c r="G2" s="317" t="s">
        <v>45</v>
      </c>
      <c r="H2" s="317" t="s">
        <v>46</v>
      </c>
      <c r="I2" s="317" t="s">
        <v>47</v>
      </c>
      <c r="J2" s="317" t="s">
        <v>48</v>
      </c>
      <c r="K2" s="317" t="s">
        <v>49</v>
      </c>
      <c r="L2" s="317" t="s">
        <v>50</v>
      </c>
      <c r="M2" s="317" t="s">
        <v>51</v>
      </c>
      <c r="N2" s="317" t="s">
        <v>20</v>
      </c>
      <c r="O2" s="317" t="s">
        <v>52</v>
      </c>
      <c r="P2" s="317" t="s">
        <v>53</v>
      </c>
      <c r="Q2" s="317" t="s">
        <v>54</v>
      </c>
      <c r="R2" s="317" t="s">
        <v>55</v>
      </c>
      <c r="S2" s="317" t="s">
        <v>56</v>
      </c>
      <c r="T2" s="317" t="s">
        <v>57</v>
      </c>
      <c r="U2" s="317" t="s">
        <v>58</v>
      </c>
      <c r="V2" s="317" t="s">
        <v>59</v>
      </c>
      <c r="W2" s="317" t="s">
        <v>60</v>
      </c>
      <c r="X2" s="317" t="s">
        <v>61</v>
      </c>
      <c r="Y2" s="317" t="s">
        <v>62</v>
      </c>
      <c r="Z2" s="317" t="s">
        <v>63</v>
      </c>
      <c r="AA2" s="317" t="s">
        <v>64</v>
      </c>
      <c r="AB2" s="317" t="s">
        <v>65</v>
      </c>
      <c r="AC2" s="317" t="s">
        <v>66</v>
      </c>
      <c r="AD2" s="317" t="s">
        <v>67</v>
      </c>
      <c r="AE2" s="317" t="s">
        <v>68</v>
      </c>
      <c r="AF2" s="317" t="s">
        <v>69</v>
      </c>
      <c r="AG2" s="317" t="s">
        <v>70</v>
      </c>
      <c r="AH2" s="317" t="s">
        <v>71</v>
      </c>
      <c r="AI2" s="317" t="s">
        <v>72</v>
      </c>
      <c r="AJ2" s="317" t="s">
        <v>73</v>
      </c>
      <c r="AK2" s="317" t="s">
        <v>74</v>
      </c>
      <c r="AL2" s="317" t="s">
        <v>75</v>
      </c>
      <c r="AM2" s="317" t="s">
        <v>76</v>
      </c>
      <c r="AN2" s="317" t="s">
        <v>77</v>
      </c>
      <c r="AO2" s="317" t="s">
        <v>78</v>
      </c>
      <c r="AP2" s="317" t="s">
        <v>79</v>
      </c>
      <c r="AQ2" s="317" t="s">
        <v>80</v>
      </c>
      <c r="AR2" s="317" t="s">
        <v>81</v>
      </c>
      <c r="AS2" s="317" t="s">
        <v>82</v>
      </c>
      <c r="AT2" s="317" t="s">
        <v>83</v>
      </c>
      <c r="AU2" s="317" t="s">
        <v>84</v>
      </c>
      <c r="AV2" s="317" t="s">
        <v>85</v>
      </c>
      <c r="AW2" s="317" t="s">
        <v>86</v>
      </c>
      <c r="AX2" s="317" t="s">
        <v>87</v>
      </c>
      <c r="AY2" s="317" t="s">
        <v>88</v>
      </c>
      <c r="AZ2" s="317" t="s">
        <v>89</v>
      </c>
      <c r="BA2" s="317" t="s">
        <v>90</v>
      </c>
      <c r="BB2" s="317" t="s">
        <v>91</v>
      </c>
      <c r="BC2" s="317" t="s">
        <v>92</v>
      </c>
      <c r="BD2" s="317" t="s">
        <v>93</v>
      </c>
      <c r="BE2" s="317" t="s">
        <v>94</v>
      </c>
      <c r="BF2" s="317" t="s">
        <v>95</v>
      </c>
      <c r="BG2" s="317" t="s">
        <v>96</v>
      </c>
      <c r="BH2" s="317" t="s">
        <v>97</v>
      </c>
      <c r="BI2" s="317" t="s">
        <v>98</v>
      </c>
    </row>
    <row r="3" spans="1:63" s="280" customFormat="1" ht="17.399999999999999">
      <c r="A3" s="304" t="str">
        <f>A11</f>
        <v>Standard Units Sales Revenue</v>
      </c>
      <c r="B3" s="305">
        <f>B20</f>
        <v>262500</v>
      </c>
      <c r="C3" s="305">
        <f t="shared" ref="C3:BI3" si="0">C20</f>
        <v>270375.00000000006</v>
      </c>
      <c r="D3" s="305">
        <f t="shared" si="0"/>
        <v>278486.25</v>
      </c>
      <c r="E3" s="305">
        <f t="shared" si="0"/>
        <v>286840.83750000002</v>
      </c>
      <c r="F3" s="305">
        <f t="shared" si="0"/>
        <v>295446.06262500002</v>
      </c>
      <c r="G3" s="305">
        <f t="shared" si="0"/>
        <v>304309.44450375001</v>
      </c>
      <c r="H3" s="305">
        <f t="shared" si="0"/>
        <v>313438.72783886257</v>
      </c>
      <c r="I3" s="305">
        <f t="shared" si="0"/>
        <v>322841.88967402844</v>
      </c>
      <c r="J3" s="305">
        <f t="shared" si="0"/>
        <v>332527.14636424929</v>
      </c>
      <c r="K3" s="305">
        <f t="shared" si="0"/>
        <v>342502.96075517678</v>
      </c>
      <c r="L3" s="305">
        <f t="shared" si="0"/>
        <v>352778.04957783211</v>
      </c>
      <c r="M3" s="305">
        <f t="shared" si="0"/>
        <v>363361.39106516703</v>
      </c>
      <c r="N3" s="305">
        <f t="shared" si="0"/>
        <v>399697.53017168381</v>
      </c>
      <c r="O3" s="305">
        <f t="shared" si="0"/>
        <v>439667.28318885225</v>
      </c>
      <c r="P3" s="305">
        <f t="shared" si="0"/>
        <v>483634.01150773745</v>
      </c>
      <c r="Q3" s="305">
        <f t="shared" si="0"/>
        <v>531997.4126585112</v>
      </c>
      <c r="R3" s="305">
        <f t="shared" si="0"/>
        <v>585197.15392436238</v>
      </c>
      <c r="S3" s="305">
        <f t="shared" si="0"/>
        <v>643716.86931679863</v>
      </c>
      <c r="T3" s="305">
        <f t="shared" si="0"/>
        <v>708088.55624847848</v>
      </c>
      <c r="U3" s="305">
        <f t="shared" si="0"/>
        <v>778897.4118733264</v>
      </c>
      <c r="V3" s="305">
        <f t="shared" si="0"/>
        <v>856787.15306065918</v>
      </c>
      <c r="W3" s="305">
        <f t="shared" si="0"/>
        <v>942465.86836672516</v>
      </c>
      <c r="X3" s="305">
        <f t="shared" si="0"/>
        <v>1036712.4552033977</v>
      </c>
      <c r="Y3" s="305">
        <f t="shared" si="0"/>
        <v>1140383.7007237375</v>
      </c>
      <c r="Z3" s="305">
        <f t="shared" si="0"/>
        <v>1197402.8857599243</v>
      </c>
      <c r="AA3" s="305">
        <f t="shared" si="0"/>
        <v>1257273.0300479208</v>
      </c>
      <c r="AB3" s="305">
        <f t="shared" si="0"/>
        <v>1320136.6815503167</v>
      </c>
      <c r="AC3" s="305">
        <f t="shared" si="0"/>
        <v>1386143.5156278326</v>
      </c>
      <c r="AD3" s="305">
        <f t="shared" si="0"/>
        <v>1455450.6914092242</v>
      </c>
      <c r="AE3" s="305">
        <f t="shared" si="0"/>
        <v>1528223.2259796856</v>
      </c>
      <c r="AF3" s="305">
        <f t="shared" si="0"/>
        <v>1604634.38727867</v>
      </c>
      <c r="AG3" s="305">
        <f t="shared" si="0"/>
        <v>1684866.1066426034</v>
      </c>
      <c r="AH3" s="305">
        <f t="shared" si="0"/>
        <v>1769109.4119747337</v>
      </c>
      <c r="AI3" s="305">
        <f t="shared" si="0"/>
        <v>1857564.8825734705</v>
      </c>
      <c r="AJ3" s="305">
        <f t="shared" si="0"/>
        <v>1950443.1267021443</v>
      </c>
      <c r="AK3" s="305">
        <f t="shared" si="0"/>
        <v>2047965.2830372516</v>
      </c>
      <c r="AL3" s="305">
        <f t="shared" si="0"/>
        <v>2150363.5471891141</v>
      </c>
      <c r="AM3" s="305">
        <f t="shared" si="0"/>
        <v>2257881.7245485699</v>
      </c>
      <c r="AN3" s="305">
        <f t="shared" si="0"/>
        <v>2370775.8107759985</v>
      </c>
      <c r="AO3" s="305">
        <f t="shared" si="0"/>
        <v>2489314.6013147985</v>
      </c>
      <c r="AP3" s="305">
        <f t="shared" si="0"/>
        <v>2613780.3313805386</v>
      </c>
      <c r="AQ3" s="305">
        <f t="shared" si="0"/>
        <v>2744469.3479495659</v>
      </c>
      <c r="AR3" s="305">
        <f t="shared" si="0"/>
        <v>2881692.8153470438</v>
      </c>
      <c r="AS3" s="305">
        <f t="shared" si="0"/>
        <v>3025777.4561143965</v>
      </c>
      <c r="AT3" s="305">
        <f t="shared" si="0"/>
        <v>3177066.3289201162</v>
      </c>
      <c r="AU3" s="305">
        <f t="shared" si="0"/>
        <v>3335919.645366122</v>
      </c>
      <c r="AV3" s="305">
        <f t="shared" si="0"/>
        <v>3502715.627634428</v>
      </c>
      <c r="AW3" s="305">
        <f t="shared" si="0"/>
        <v>3677851.4090161496</v>
      </c>
      <c r="AX3" s="305">
        <f t="shared" si="0"/>
        <v>3861743.979466957</v>
      </c>
      <c r="AY3" s="305">
        <f t="shared" si="0"/>
        <v>4054831.1784403049</v>
      </c>
      <c r="AZ3" s="305">
        <f t="shared" si="0"/>
        <v>4257572.7373623205</v>
      </c>
      <c r="BA3" s="305">
        <f t="shared" si="0"/>
        <v>4470451.374230437</v>
      </c>
      <c r="BB3" s="305">
        <f t="shared" si="0"/>
        <v>4693973.942941959</v>
      </c>
      <c r="BC3" s="305">
        <f t="shared" si="0"/>
        <v>4928672.6400890574</v>
      </c>
      <c r="BD3" s="305">
        <f t="shared" si="0"/>
        <v>5175106.2720935103</v>
      </c>
      <c r="BE3" s="305">
        <f t="shared" si="0"/>
        <v>5433861.5856981864</v>
      </c>
      <c r="BF3" s="305">
        <f t="shared" si="0"/>
        <v>5705554.6649830956</v>
      </c>
      <c r="BG3" s="305">
        <f t="shared" si="0"/>
        <v>5990832.3982322505</v>
      </c>
      <c r="BH3" s="305">
        <f t="shared" si="0"/>
        <v>6290374.0181438634</v>
      </c>
      <c r="BI3" s="305">
        <f t="shared" si="0"/>
        <v>6604892.7190510575</v>
      </c>
    </row>
    <row r="4" spans="1:63" s="280" customFormat="1" ht="17.399999999999999">
      <c r="A4" s="304" t="str">
        <f>A34</f>
        <v>Upgraded Units Sales Revenue</v>
      </c>
      <c r="B4" s="305">
        <f>B34</f>
        <v>0</v>
      </c>
      <c r="C4" s="305">
        <f t="shared" ref="C4:BI4" si="1">C34</f>
        <v>0</v>
      </c>
      <c r="D4" s="305">
        <f t="shared" si="1"/>
        <v>0</v>
      </c>
      <c r="E4" s="305">
        <f t="shared" si="1"/>
        <v>0</v>
      </c>
      <c r="F4" s="305">
        <f t="shared" si="1"/>
        <v>0</v>
      </c>
      <c r="G4" s="305">
        <f t="shared" si="1"/>
        <v>0</v>
      </c>
      <c r="H4" s="305">
        <f t="shared" si="1"/>
        <v>0</v>
      </c>
      <c r="I4" s="305">
        <f t="shared" si="1"/>
        <v>0</v>
      </c>
      <c r="J4" s="305">
        <f t="shared" si="1"/>
        <v>0</v>
      </c>
      <c r="K4" s="305">
        <f t="shared" si="1"/>
        <v>0</v>
      </c>
      <c r="L4" s="305">
        <f t="shared" si="1"/>
        <v>0</v>
      </c>
      <c r="M4" s="305">
        <f t="shared" si="1"/>
        <v>0</v>
      </c>
      <c r="N4" s="305">
        <f t="shared" si="1"/>
        <v>125000</v>
      </c>
      <c r="O4" s="305">
        <f t="shared" si="1"/>
        <v>137500</v>
      </c>
      <c r="P4" s="305">
        <f t="shared" si="1"/>
        <v>151250.00000000003</v>
      </c>
      <c r="Q4" s="305">
        <f t="shared" si="1"/>
        <v>166375.00000000003</v>
      </c>
      <c r="R4" s="305">
        <f t="shared" si="1"/>
        <v>183012.50000000003</v>
      </c>
      <c r="S4" s="305">
        <f t="shared" si="1"/>
        <v>201313.75000000009</v>
      </c>
      <c r="T4" s="305">
        <f t="shared" si="1"/>
        <v>221445.12500000009</v>
      </c>
      <c r="U4" s="305">
        <f t="shared" si="1"/>
        <v>243589.63750000016</v>
      </c>
      <c r="V4" s="305">
        <f t="shared" si="1"/>
        <v>267948.60125000018</v>
      </c>
      <c r="W4" s="305">
        <f t="shared" si="1"/>
        <v>294743.46137500019</v>
      </c>
      <c r="X4" s="305">
        <f t="shared" si="1"/>
        <v>324217.80751250021</v>
      </c>
      <c r="Y4" s="305">
        <f t="shared" si="1"/>
        <v>356639.58826375025</v>
      </c>
      <c r="Z4" s="305">
        <f t="shared" si="1"/>
        <v>374471.56767693773</v>
      </c>
      <c r="AA4" s="305">
        <f t="shared" si="1"/>
        <v>393195.14606078464</v>
      </c>
      <c r="AB4" s="305">
        <f t="shared" si="1"/>
        <v>412854.90336382389</v>
      </c>
      <c r="AC4" s="305">
        <f t="shared" si="1"/>
        <v>433497.6485320151</v>
      </c>
      <c r="AD4" s="305">
        <f t="shared" si="1"/>
        <v>455172.53095861594</v>
      </c>
      <c r="AE4" s="305">
        <f t="shared" si="1"/>
        <v>477931.15750654676</v>
      </c>
      <c r="AF4" s="305">
        <f t="shared" si="1"/>
        <v>501827.71538187418</v>
      </c>
      <c r="AG4" s="305">
        <f t="shared" si="1"/>
        <v>526919.10115096788</v>
      </c>
      <c r="AH4" s="305">
        <f t="shared" si="1"/>
        <v>553265.05620851624</v>
      </c>
      <c r="AI4" s="305">
        <f t="shared" si="1"/>
        <v>580928.30901894218</v>
      </c>
      <c r="AJ4" s="305">
        <f t="shared" si="1"/>
        <v>609974.72446988919</v>
      </c>
      <c r="AK4" s="305">
        <f t="shared" si="1"/>
        <v>640473.46069338371</v>
      </c>
      <c r="AL4" s="305">
        <f t="shared" si="1"/>
        <v>672497.13372805284</v>
      </c>
      <c r="AM4" s="305">
        <f t="shared" si="1"/>
        <v>706121.99041445553</v>
      </c>
      <c r="AN4" s="305">
        <f t="shared" si="1"/>
        <v>741428.0899351784</v>
      </c>
      <c r="AO4" s="305">
        <f t="shared" si="1"/>
        <v>778499.49443193723</v>
      </c>
      <c r="AP4" s="305">
        <f t="shared" si="1"/>
        <v>817424.46915353427</v>
      </c>
      <c r="AQ4" s="305">
        <f t="shared" si="1"/>
        <v>858295.69261121098</v>
      </c>
      <c r="AR4" s="305">
        <f t="shared" si="1"/>
        <v>901210.47724177164</v>
      </c>
      <c r="AS4" s="305">
        <f t="shared" si="1"/>
        <v>946271.00110386021</v>
      </c>
      <c r="AT4" s="305">
        <f t="shared" si="1"/>
        <v>993584.55115905323</v>
      </c>
      <c r="AU4" s="305">
        <f t="shared" si="1"/>
        <v>1043263.7787170061</v>
      </c>
      <c r="AV4" s="305">
        <f t="shared" si="1"/>
        <v>1095426.9676528564</v>
      </c>
      <c r="AW4" s="305">
        <f t="shared" si="1"/>
        <v>1150198.3160354991</v>
      </c>
      <c r="AX4" s="305">
        <f t="shared" si="1"/>
        <v>1207708.231837274</v>
      </c>
      <c r="AY4" s="305">
        <f t="shared" si="1"/>
        <v>1268093.6434291378</v>
      </c>
      <c r="AZ4" s="305">
        <f t="shared" si="1"/>
        <v>1331498.3256005947</v>
      </c>
      <c r="BA4" s="305">
        <f t="shared" si="1"/>
        <v>1398073.2418806246</v>
      </c>
      <c r="BB4" s="305">
        <f t="shared" si="1"/>
        <v>1467976.9039746558</v>
      </c>
      <c r="BC4" s="305">
        <f t="shared" si="1"/>
        <v>1541375.7491733888</v>
      </c>
      <c r="BD4" s="305">
        <f t="shared" si="1"/>
        <v>1618444.5366320582</v>
      </c>
      <c r="BE4" s="305">
        <f t="shared" si="1"/>
        <v>1699366.7634636611</v>
      </c>
      <c r="BF4" s="305">
        <f t="shared" si="1"/>
        <v>1784335.101636844</v>
      </c>
      <c r="BG4" s="305">
        <f t="shared" si="1"/>
        <v>1873551.8567186864</v>
      </c>
      <c r="BH4" s="305">
        <f t="shared" si="1"/>
        <v>1967229.449554621</v>
      </c>
      <c r="BI4" s="305">
        <f t="shared" si="1"/>
        <v>2065590.9220323518</v>
      </c>
    </row>
    <row r="5" spans="1:63">
      <c r="A5" s="163"/>
      <c r="B5" s="164"/>
      <c r="C5" s="165"/>
      <c r="D5" s="165"/>
      <c r="E5" s="165"/>
      <c r="F5" s="165"/>
      <c r="G5" s="165"/>
      <c r="H5" s="165"/>
      <c r="I5" s="167"/>
      <c r="J5" s="167"/>
      <c r="K5" s="167"/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</row>
    <row r="6" spans="1:63" s="297" customFormat="1" ht="21">
      <c r="A6" s="316" t="s">
        <v>281</v>
      </c>
      <c r="B6" s="318">
        <f>SUM(B3:B4)</f>
        <v>262500</v>
      </c>
      <c r="C6" s="318">
        <f t="shared" ref="C6:BK6" si="2">SUM(C3:C4)</f>
        <v>270375.00000000006</v>
      </c>
      <c r="D6" s="318">
        <f t="shared" si="2"/>
        <v>278486.25</v>
      </c>
      <c r="E6" s="318">
        <f t="shared" si="2"/>
        <v>286840.83750000002</v>
      </c>
      <c r="F6" s="318">
        <f t="shared" si="2"/>
        <v>295446.06262500002</v>
      </c>
      <c r="G6" s="318">
        <f t="shared" si="2"/>
        <v>304309.44450375001</v>
      </c>
      <c r="H6" s="318">
        <f t="shared" si="2"/>
        <v>313438.72783886257</v>
      </c>
      <c r="I6" s="318">
        <f t="shared" si="2"/>
        <v>322841.88967402844</v>
      </c>
      <c r="J6" s="318">
        <f t="shared" si="2"/>
        <v>332527.14636424929</v>
      </c>
      <c r="K6" s="318">
        <f t="shared" si="2"/>
        <v>342502.96075517678</v>
      </c>
      <c r="L6" s="318">
        <f t="shared" si="2"/>
        <v>352778.04957783211</v>
      </c>
      <c r="M6" s="318">
        <f t="shared" si="2"/>
        <v>363361.39106516703</v>
      </c>
      <c r="N6" s="318">
        <f t="shared" si="2"/>
        <v>524697.53017168376</v>
      </c>
      <c r="O6" s="318">
        <f t="shared" si="2"/>
        <v>577167.28318885225</v>
      </c>
      <c r="P6" s="318">
        <f t="shared" si="2"/>
        <v>634884.01150773745</v>
      </c>
      <c r="Q6" s="318">
        <f t="shared" si="2"/>
        <v>698372.4126585112</v>
      </c>
      <c r="R6" s="318">
        <f t="shared" si="2"/>
        <v>768209.65392436238</v>
      </c>
      <c r="S6" s="318">
        <f t="shared" si="2"/>
        <v>845030.61931679875</v>
      </c>
      <c r="T6" s="318">
        <f t="shared" si="2"/>
        <v>929533.68124847859</v>
      </c>
      <c r="U6" s="318">
        <f t="shared" si="2"/>
        <v>1022487.0493733266</v>
      </c>
      <c r="V6" s="318">
        <f t="shared" si="2"/>
        <v>1124735.7543106594</v>
      </c>
      <c r="W6" s="318">
        <f t="shared" si="2"/>
        <v>1237209.3297417252</v>
      </c>
      <c r="X6" s="318">
        <f t="shared" si="2"/>
        <v>1360930.262715898</v>
      </c>
      <c r="Y6" s="318">
        <f t="shared" si="2"/>
        <v>1497023.2889874878</v>
      </c>
      <c r="Z6" s="318">
        <f t="shared" si="2"/>
        <v>1571874.453436862</v>
      </c>
      <c r="AA6" s="318">
        <f t="shared" si="2"/>
        <v>1650468.1761087053</v>
      </c>
      <c r="AB6" s="318">
        <f t="shared" si="2"/>
        <v>1732991.5849141406</v>
      </c>
      <c r="AC6" s="318">
        <f t="shared" si="2"/>
        <v>1819641.1641598477</v>
      </c>
      <c r="AD6" s="318">
        <f t="shared" si="2"/>
        <v>1910623.2223678401</v>
      </c>
      <c r="AE6" s="318">
        <f t="shared" si="2"/>
        <v>2006154.3834862323</v>
      </c>
      <c r="AF6" s="318">
        <f t="shared" si="2"/>
        <v>2106462.1026605442</v>
      </c>
      <c r="AG6" s="318">
        <f t="shared" si="2"/>
        <v>2211785.2077935711</v>
      </c>
      <c r="AH6" s="318">
        <f t="shared" si="2"/>
        <v>2322374.4681832502</v>
      </c>
      <c r="AI6" s="318">
        <f t="shared" si="2"/>
        <v>2438493.1915924125</v>
      </c>
      <c r="AJ6" s="318">
        <f t="shared" si="2"/>
        <v>2560417.8511720337</v>
      </c>
      <c r="AK6" s="318">
        <f t="shared" si="2"/>
        <v>2688438.7437306354</v>
      </c>
      <c r="AL6" s="318">
        <f t="shared" si="2"/>
        <v>2822860.6809171671</v>
      </c>
      <c r="AM6" s="318">
        <f t="shared" si="2"/>
        <v>2964003.7149630254</v>
      </c>
      <c r="AN6" s="318">
        <f t="shared" si="2"/>
        <v>3112203.9007111769</v>
      </c>
      <c r="AO6" s="318">
        <f t="shared" si="2"/>
        <v>3267814.0957467356</v>
      </c>
      <c r="AP6" s="318">
        <f t="shared" si="2"/>
        <v>3431204.8005340728</v>
      </c>
      <c r="AQ6" s="318">
        <f t="shared" si="2"/>
        <v>3602765.0405607768</v>
      </c>
      <c r="AR6" s="318">
        <f t="shared" si="2"/>
        <v>3782903.2925888156</v>
      </c>
      <c r="AS6" s="318">
        <f t="shared" si="2"/>
        <v>3972048.4572182568</v>
      </c>
      <c r="AT6" s="318">
        <f t="shared" si="2"/>
        <v>4170650.8800791693</v>
      </c>
      <c r="AU6" s="318">
        <f t="shared" si="2"/>
        <v>4379183.4240831286</v>
      </c>
      <c r="AV6" s="318">
        <f t="shared" si="2"/>
        <v>4598142.5952872839</v>
      </c>
      <c r="AW6" s="318">
        <f t="shared" si="2"/>
        <v>4828049.7250516489</v>
      </c>
      <c r="AX6" s="318">
        <f t="shared" si="2"/>
        <v>5069452.2113042306</v>
      </c>
      <c r="AY6" s="318">
        <f t="shared" si="2"/>
        <v>5322924.8218694422</v>
      </c>
      <c r="AZ6" s="318">
        <f t="shared" si="2"/>
        <v>5589071.0629629157</v>
      </c>
      <c r="BA6" s="318">
        <f t="shared" si="2"/>
        <v>5868524.6161110615</v>
      </c>
      <c r="BB6" s="318">
        <f t="shared" si="2"/>
        <v>6161950.846916615</v>
      </c>
      <c r="BC6" s="318">
        <f t="shared" si="2"/>
        <v>6470048.3892624462</v>
      </c>
      <c r="BD6" s="318">
        <f t="shared" si="2"/>
        <v>6793550.8087255685</v>
      </c>
      <c r="BE6" s="318">
        <f t="shared" si="2"/>
        <v>7133228.3491618475</v>
      </c>
      <c r="BF6" s="318">
        <f t="shared" si="2"/>
        <v>7489889.7666199394</v>
      </c>
      <c r="BG6" s="318">
        <f t="shared" si="2"/>
        <v>7864384.2549509369</v>
      </c>
      <c r="BH6" s="318">
        <f t="shared" si="2"/>
        <v>8257603.4676984847</v>
      </c>
      <c r="BI6" s="318">
        <f t="shared" si="2"/>
        <v>8670483.64108341</v>
      </c>
      <c r="BJ6" s="318">
        <f t="shared" si="2"/>
        <v>0</v>
      </c>
      <c r="BK6" s="318">
        <f t="shared" si="2"/>
        <v>0</v>
      </c>
    </row>
    <row r="7" spans="1:63">
      <c r="A7" s="163"/>
      <c r="B7" s="164"/>
      <c r="C7" s="165"/>
      <c r="D7" s="165"/>
      <c r="E7" s="165"/>
      <c r="F7" s="165"/>
      <c r="G7" s="165"/>
      <c r="H7" s="165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</row>
    <row r="8" spans="1:63">
      <c r="A8" s="163"/>
      <c r="B8" s="164"/>
      <c r="C8" s="165"/>
      <c r="D8" s="165"/>
      <c r="E8" s="165"/>
      <c r="F8" s="165"/>
      <c r="G8" s="165"/>
      <c r="H8" s="165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</row>
    <row r="9" spans="1:63">
      <c r="A9" s="163"/>
      <c r="B9" s="164"/>
      <c r="C9" s="165"/>
      <c r="D9" s="165"/>
      <c r="E9" s="165"/>
      <c r="F9" s="165"/>
      <c r="G9" s="165"/>
      <c r="H9" s="165"/>
      <c r="I9" s="167"/>
      <c r="J9" s="167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</row>
    <row r="10" spans="1:63">
      <c r="A10" s="163"/>
      <c r="B10" s="164"/>
      <c r="C10" s="165"/>
      <c r="D10" s="165"/>
      <c r="E10" s="165"/>
      <c r="F10" s="165"/>
      <c r="G10" s="165"/>
      <c r="H10" s="165"/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</row>
    <row r="11" spans="1:63" ht="21">
      <c r="A11" s="315" t="s">
        <v>319</v>
      </c>
      <c r="B11" s="299"/>
      <c r="C11" s="165"/>
      <c r="D11" s="165"/>
      <c r="E11" s="165"/>
      <c r="F11" s="165"/>
      <c r="G11" s="165"/>
      <c r="H11" s="165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</row>
    <row r="12" spans="1:63" ht="17.399999999999999">
      <c r="A12" s="283" t="s">
        <v>275</v>
      </c>
      <c r="B12" s="298" t="s">
        <v>276</v>
      </c>
      <c r="C12" s="298" t="s">
        <v>277</v>
      </c>
      <c r="D12" s="298" t="s">
        <v>278</v>
      </c>
      <c r="E12" s="298" t="s">
        <v>279</v>
      </c>
      <c r="F12" s="298" t="s">
        <v>280</v>
      </c>
      <c r="G12" s="165"/>
      <c r="H12" s="167"/>
      <c r="I12" s="167"/>
      <c r="J12" s="167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</row>
    <row r="13" spans="1:63">
      <c r="A13" s="284" t="s">
        <v>292</v>
      </c>
      <c r="B13" s="169">
        <v>15000</v>
      </c>
      <c r="C13" s="285"/>
      <c r="D13" s="167"/>
      <c r="E13" s="167"/>
      <c r="F13" s="167"/>
      <c r="G13" s="167"/>
      <c r="H13" s="167"/>
      <c r="I13" s="167"/>
      <c r="J13" s="167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</row>
    <row r="14" spans="1:63">
      <c r="A14" s="284" t="s">
        <v>311</v>
      </c>
      <c r="B14" s="170">
        <f>42/12</f>
        <v>3.5</v>
      </c>
      <c r="C14" s="164" t="s">
        <v>268</v>
      </c>
      <c r="D14" s="167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</row>
    <row r="15" spans="1:63">
      <c r="A15" s="284" t="s">
        <v>293</v>
      </c>
      <c r="B15" s="170">
        <v>5</v>
      </c>
      <c r="C15" s="164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</row>
    <row r="16" spans="1:63">
      <c r="A16" s="168" t="s">
        <v>265</v>
      </c>
      <c r="B16" s="282">
        <f>Assumptions!B3</f>
        <v>0.03</v>
      </c>
      <c r="C16" s="282">
        <f>Assumptions!C3</f>
        <v>0.1</v>
      </c>
      <c r="D16" s="282">
        <f>Assumptions!D3</f>
        <v>0.05</v>
      </c>
      <c r="E16" s="282">
        <f>Assumptions!E3</f>
        <v>0.05</v>
      </c>
      <c r="F16" s="282">
        <f>Assumptions!F3</f>
        <v>0.05</v>
      </c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</row>
    <row r="17" spans="1:62">
      <c r="A17" s="163"/>
      <c r="B17" s="164"/>
      <c r="C17" s="164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</row>
    <row r="18" spans="1:62" ht="17.399999999999999">
      <c r="A18" s="166" t="s">
        <v>172</v>
      </c>
      <c r="B18" s="171" t="s">
        <v>15</v>
      </c>
      <c r="C18" s="171" t="s">
        <v>41</v>
      </c>
      <c r="D18" s="171" t="s">
        <v>42</v>
      </c>
      <c r="E18" s="171" t="s">
        <v>43</v>
      </c>
      <c r="F18" s="171" t="s">
        <v>44</v>
      </c>
      <c r="G18" s="171" t="s">
        <v>45</v>
      </c>
      <c r="H18" s="171" t="s">
        <v>46</v>
      </c>
      <c r="I18" s="171" t="s">
        <v>47</v>
      </c>
      <c r="J18" s="171" t="s">
        <v>48</v>
      </c>
      <c r="K18" s="171" t="s">
        <v>49</v>
      </c>
      <c r="L18" s="171" t="s">
        <v>50</v>
      </c>
      <c r="M18" s="171" t="s">
        <v>51</v>
      </c>
      <c r="N18" s="171" t="s">
        <v>20</v>
      </c>
      <c r="O18" s="171" t="s">
        <v>52</v>
      </c>
      <c r="P18" s="171" t="s">
        <v>53</v>
      </c>
      <c r="Q18" s="171" t="s">
        <v>54</v>
      </c>
      <c r="R18" s="171" t="s">
        <v>55</v>
      </c>
      <c r="S18" s="171" t="s">
        <v>56</v>
      </c>
      <c r="T18" s="171" t="s">
        <v>57</v>
      </c>
      <c r="U18" s="171" t="s">
        <v>58</v>
      </c>
      <c r="V18" s="171" t="s">
        <v>59</v>
      </c>
      <c r="W18" s="171" t="s">
        <v>60</v>
      </c>
      <c r="X18" s="171" t="s">
        <v>61</v>
      </c>
      <c r="Y18" s="171" t="s">
        <v>62</v>
      </c>
      <c r="Z18" s="171" t="s">
        <v>63</v>
      </c>
      <c r="AA18" s="171" t="s">
        <v>64</v>
      </c>
      <c r="AB18" s="171" t="s">
        <v>65</v>
      </c>
      <c r="AC18" s="171" t="s">
        <v>66</v>
      </c>
      <c r="AD18" s="171" t="s">
        <v>67</v>
      </c>
      <c r="AE18" s="171" t="s">
        <v>68</v>
      </c>
      <c r="AF18" s="171" t="s">
        <v>69</v>
      </c>
      <c r="AG18" s="171" t="s">
        <v>70</v>
      </c>
      <c r="AH18" s="171" t="s">
        <v>71</v>
      </c>
      <c r="AI18" s="171" t="s">
        <v>72</v>
      </c>
      <c r="AJ18" s="171" t="s">
        <v>73</v>
      </c>
      <c r="AK18" s="171" t="s">
        <v>74</v>
      </c>
      <c r="AL18" s="171" t="s">
        <v>75</v>
      </c>
      <c r="AM18" s="171" t="s">
        <v>76</v>
      </c>
      <c r="AN18" s="171" t="s">
        <v>77</v>
      </c>
      <c r="AO18" s="171" t="s">
        <v>78</v>
      </c>
      <c r="AP18" s="171" t="s">
        <v>79</v>
      </c>
      <c r="AQ18" s="171" t="s">
        <v>80</v>
      </c>
      <c r="AR18" s="171" t="s">
        <v>81</v>
      </c>
      <c r="AS18" s="171" t="s">
        <v>82</v>
      </c>
      <c r="AT18" s="171" t="s">
        <v>83</v>
      </c>
      <c r="AU18" s="171" t="s">
        <v>84</v>
      </c>
      <c r="AV18" s="171" t="s">
        <v>85</v>
      </c>
      <c r="AW18" s="171" t="s">
        <v>86</v>
      </c>
      <c r="AX18" s="171" t="s">
        <v>87</v>
      </c>
      <c r="AY18" s="171" t="s">
        <v>88</v>
      </c>
      <c r="AZ18" s="171" t="s">
        <v>89</v>
      </c>
      <c r="BA18" s="171" t="s">
        <v>90</v>
      </c>
      <c r="BB18" s="171" t="s">
        <v>91</v>
      </c>
      <c r="BC18" s="171" t="s">
        <v>92</v>
      </c>
      <c r="BD18" s="171" t="s">
        <v>93</v>
      </c>
      <c r="BE18" s="171" t="s">
        <v>94</v>
      </c>
      <c r="BF18" s="171" t="s">
        <v>95</v>
      </c>
      <c r="BG18" s="171" t="s">
        <v>96</v>
      </c>
      <c r="BH18" s="171" t="s">
        <v>97</v>
      </c>
      <c r="BI18" s="171" t="s">
        <v>98</v>
      </c>
    </row>
    <row r="19" spans="1:62">
      <c r="A19" s="284" t="s">
        <v>300</v>
      </c>
      <c r="B19" s="170">
        <f>B14*B15</f>
        <v>17.5</v>
      </c>
      <c r="C19" s="170">
        <f t="shared" ref="C19:M19" si="3">B19*(1+$B$16)</f>
        <v>18.025000000000002</v>
      </c>
      <c r="D19" s="170">
        <f t="shared" si="3"/>
        <v>18.565750000000001</v>
      </c>
      <c r="E19" s="170">
        <f t="shared" si="3"/>
        <v>19.122722500000002</v>
      </c>
      <c r="F19" s="170">
        <f t="shared" si="3"/>
        <v>19.696404175000001</v>
      </c>
      <c r="G19" s="170">
        <f t="shared" si="3"/>
        <v>20.287296300250002</v>
      </c>
      <c r="H19" s="170">
        <f t="shared" si="3"/>
        <v>20.895915189257504</v>
      </c>
      <c r="I19" s="170">
        <f t="shared" si="3"/>
        <v>21.52279264493523</v>
      </c>
      <c r="J19" s="170">
        <f t="shared" si="3"/>
        <v>22.168476424283288</v>
      </c>
      <c r="K19" s="170">
        <f t="shared" si="3"/>
        <v>22.833530717011786</v>
      </c>
      <c r="L19" s="170">
        <f t="shared" si="3"/>
        <v>23.518536638522139</v>
      </c>
      <c r="M19" s="170">
        <f t="shared" si="3"/>
        <v>24.224092737677804</v>
      </c>
      <c r="N19" s="170">
        <f>M19*(1+$C$16)</f>
        <v>26.646502011445587</v>
      </c>
      <c r="O19" s="170">
        <f t="shared" ref="O19:Y19" si="4">N19*(1+$C$16)</f>
        <v>29.311152212590148</v>
      </c>
      <c r="P19" s="170">
        <f t="shared" si="4"/>
        <v>32.242267433849165</v>
      </c>
      <c r="Q19" s="170">
        <f t="shared" si="4"/>
        <v>35.466494177234082</v>
      </c>
      <c r="R19" s="170">
        <f t="shared" si="4"/>
        <v>39.013143594957491</v>
      </c>
      <c r="S19" s="170">
        <f t="shared" si="4"/>
        <v>42.914457954453241</v>
      </c>
      <c r="T19" s="170">
        <f t="shared" si="4"/>
        <v>47.205903749898567</v>
      </c>
      <c r="U19" s="170">
        <f t="shared" si="4"/>
        <v>51.926494124888428</v>
      </c>
      <c r="V19" s="170">
        <f t="shared" si="4"/>
        <v>57.119143537377276</v>
      </c>
      <c r="W19" s="170">
        <f t="shared" si="4"/>
        <v>62.831057891115009</v>
      </c>
      <c r="X19" s="170">
        <f t="shared" si="4"/>
        <v>69.114163680226511</v>
      </c>
      <c r="Y19" s="170">
        <f t="shared" si="4"/>
        <v>76.025580048249168</v>
      </c>
      <c r="Z19" s="170">
        <f>Y19*(1+$D$16)</f>
        <v>79.826859050661625</v>
      </c>
      <c r="AA19" s="170">
        <f t="shared" ref="AA19:AK19" si="5">Z19*(1+$D$16)</f>
        <v>83.818202003194713</v>
      </c>
      <c r="AB19" s="170">
        <f t="shared" si="5"/>
        <v>88.009112103354454</v>
      </c>
      <c r="AC19" s="170">
        <f t="shared" si="5"/>
        <v>92.409567708522175</v>
      </c>
      <c r="AD19" s="170">
        <f t="shared" si="5"/>
        <v>97.030046093948286</v>
      </c>
      <c r="AE19" s="170">
        <f t="shared" si="5"/>
        <v>101.88154839864571</v>
      </c>
      <c r="AF19" s="170">
        <f t="shared" si="5"/>
        <v>106.975625818578</v>
      </c>
      <c r="AG19" s="170">
        <f t="shared" si="5"/>
        <v>112.32440710950689</v>
      </c>
      <c r="AH19" s="170">
        <f t="shared" si="5"/>
        <v>117.94062746498224</v>
      </c>
      <c r="AI19" s="170">
        <f t="shared" si="5"/>
        <v>123.83765883823136</v>
      </c>
      <c r="AJ19" s="170">
        <f t="shared" si="5"/>
        <v>130.02954178014295</v>
      </c>
      <c r="AK19" s="170">
        <f t="shared" si="5"/>
        <v>136.5310188691501</v>
      </c>
      <c r="AL19" s="170">
        <f>AK19*(1+$E$16)</f>
        <v>143.35756981260761</v>
      </c>
      <c r="AM19" s="170">
        <f t="shared" ref="AM19:AW19" si="6">AL19*(1+$E$16)</f>
        <v>150.52544830323799</v>
      </c>
      <c r="AN19" s="170">
        <f t="shared" si="6"/>
        <v>158.05172071839991</v>
      </c>
      <c r="AO19" s="170">
        <f t="shared" si="6"/>
        <v>165.9543067543199</v>
      </c>
      <c r="AP19" s="170">
        <f t="shared" si="6"/>
        <v>174.2520220920359</v>
      </c>
      <c r="AQ19" s="170">
        <f t="shared" si="6"/>
        <v>182.96462319663772</v>
      </c>
      <c r="AR19" s="170">
        <f t="shared" si="6"/>
        <v>192.1128543564696</v>
      </c>
      <c r="AS19" s="170">
        <f t="shared" si="6"/>
        <v>201.71849707429308</v>
      </c>
      <c r="AT19" s="170">
        <f t="shared" si="6"/>
        <v>211.80442192800774</v>
      </c>
      <c r="AU19" s="170">
        <f t="shared" si="6"/>
        <v>222.39464302440814</v>
      </c>
      <c r="AV19" s="170">
        <f t="shared" si="6"/>
        <v>233.51437517562854</v>
      </c>
      <c r="AW19" s="170">
        <f t="shared" si="6"/>
        <v>245.19009393440999</v>
      </c>
      <c r="AX19" s="170">
        <f>AW19*(1+$F$16)</f>
        <v>257.44959863113047</v>
      </c>
      <c r="AY19" s="170">
        <f t="shared" ref="AY19:BI19" si="7">AX19*(1+$F$16)</f>
        <v>270.32207856268701</v>
      </c>
      <c r="AZ19" s="170">
        <f t="shared" si="7"/>
        <v>283.8381824908214</v>
      </c>
      <c r="BA19" s="170">
        <f t="shared" si="7"/>
        <v>298.03009161536249</v>
      </c>
      <c r="BB19" s="170">
        <f t="shared" si="7"/>
        <v>312.93159619613061</v>
      </c>
      <c r="BC19" s="170">
        <f t="shared" si="7"/>
        <v>328.57817600593717</v>
      </c>
      <c r="BD19" s="170">
        <f t="shared" si="7"/>
        <v>345.00708480623405</v>
      </c>
      <c r="BE19" s="170">
        <f t="shared" si="7"/>
        <v>362.25743904654576</v>
      </c>
      <c r="BF19" s="170">
        <f t="shared" si="7"/>
        <v>380.37031099887304</v>
      </c>
      <c r="BG19" s="170">
        <f t="shared" si="7"/>
        <v>399.38882654881672</v>
      </c>
      <c r="BH19" s="170">
        <f t="shared" si="7"/>
        <v>419.35826787625757</v>
      </c>
      <c r="BI19" s="170">
        <f t="shared" si="7"/>
        <v>440.32618127007049</v>
      </c>
    </row>
    <row r="20" spans="1:62">
      <c r="A20" s="168" t="str">
        <f>A11</f>
        <v>Standard Units Sales Revenue</v>
      </c>
      <c r="B20" s="172">
        <f>$B$13*B19</f>
        <v>262500</v>
      </c>
      <c r="C20" s="172">
        <f t="shared" ref="C20:BI20" si="8">$B$13*C19</f>
        <v>270375.00000000006</v>
      </c>
      <c r="D20" s="172">
        <f t="shared" si="8"/>
        <v>278486.25</v>
      </c>
      <c r="E20" s="172">
        <f t="shared" si="8"/>
        <v>286840.83750000002</v>
      </c>
      <c r="F20" s="172">
        <f t="shared" si="8"/>
        <v>295446.06262500002</v>
      </c>
      <c r="G20" s="172">
        <f t="shared" si="8"/>
        <v>304309.44450375001</v>
      </c>
      <c r="H20" s="172">
        <f t="shared" si="8"/>
        <v>313438.72783886257</v>
      </c>
      <c r="I20" s="172">
        <f t="shared" si="8"/>
        <v>322841.88967402844</v>
      </c>
      <c r="J20" s="172">
        <f t="shared" si="8"/>
        <v>332527.14636424929</v>
      </c>
      <c r="K20" s="172">
        <f t="shared" si="8"/>
        <v>342502.96075517678</v>
      </c>
      <c r="L20" s="172">
        <f t="shared" si="8"/>
        <v>352778.04957783211</v>
      </c>
      <c r="M20" s="172">
        <f t="shared" si="8"/>
        <v>363361.39106516703</v>
      </c>
      <c r="N20" s="172">
        <f t="shared" si="8"/>
        <v>399697.53017168381</v>
      </c>
      <c r="O20" s="172">
        <f t="shared" si="8"/>
        <v>439667.28318885225</v>
      </c>
      <c r="P20" s="172">
        <f t="shared" si="8"/>
        <v>483634.01150773745</v>
      </c>
      <c r="Q20" s="172">
        <f t="shared" si="8"/>
        <v>531997.4126585112</v>
      </c>
      <c r="R20" s="172">
        <f t="shared" si="8"/>
        <v>585197.15392436238</v>
      </c>
      <c r="S20" s="172">
        <f t="shared" si="8"/>
        <v>643716.86931679863</v>
      </c>
      <c r="T20" s="172">
        <f t="shared" si="8"/>
        <v>708088.55624847848</v>
      </c>
      <c r="U20" s="172">
        <f t="shared" si="8"/>
        <v>778897.4118733264</v>
      </c>
      <c r="V20" s="172">
        <f t="shared" si="8"/>
        <v>856787.15306065918</v>
      </c>
      <c r="W20" s="172">
        <f t="shared" si="8"/>
        <v>942465.86836672516</v>
      </c>
      <c r="X20" s="172">
        <f t="shared" si="8"/>
        <v>1036712.4552033977</v>
      </c>
      <c r="Y20" s="172">
        <f t="shared" si="8"/>
        <v>1140383.7007237375</v>
      </c>
      <c r="Z20" s="172">
        <f t="shared" si="8"/>
        <v>1197402.8857599243</v>
      </c>
      <c r="AA20" s="172">
        <f t="shared" si="8"/>
        <v>1257273.0300479208</v>
      </c>
      <c r="AB20" s="172">
        <f t="shared" si="8"/>
        <v>1320136.6815503167</v>
      </c>
      <c r="AC20" s="172">
        <f t="shared" si="8"/>
        <v>1386143.5156278326</v>
      </c>
      <c r="AD20" s="172">
        <f t="shared" si="8"/>
        <v>1455450.6914092242</v>
      </c>
      <c r="AE20" s="172">
        <f t="shared" si="8"/>
        <v>1528223.2259796856</v>
      </c>
      <c r="AF20" s="172">
        <f t="shared" si="8"/>
        <v>1604634.38727867</v>
      </c>
      <c r="AG20" s="172">
        <f t="shared" si="8"/>
        <v>1684866.1066426034</v>
      </c>
      <c r="AH20" s="172">
        <f t="shared" si="8"/>
        <v>1769109.4119747337</v>
      </c>
      <c r="AI20" s="172">
        <f t="shared" si="8"/>
        <v>1857564.8825734705</v>
      </c>
      <c r="AJ20" s="172">
        <f t="shared" si="8"/>
        <v>1950443.1267021443</v>
      </c>
      <c r="AK20" s="172">
        <f t="shared" si="8"/>
        <v>2047965.2830372516</v>
      </c>
      <c r="AL20" s="172">
        <f t="shared" si="8"/>
        <v>2150363.5471891141</v>
      </c>
      <c r="AM20" s="172">
        <f t="shared" si="8"/>
        <v>2257881.7245485699</v>
      </c>
      <c r="AN20" s="172">
        <f t="shared" si="8"/>
        <v>2370775.8107759985</v>
      </c>
      <c r="AO20" s="172">
        <f t="shared" si="8"/>
        <v>2489314.6013147985</v>
      </c>
      <c r="AP20" s="172">
        <f t="shared" si="8"/>
        <v>2613780.3313805386</v>
      </c>
      <c r="AQ20" s="172">
        <f t="shared" si="8"/>
        <v>2744469.3479495659</v>
      </c>
      <c r="AR20" s="172">
        <f t="shared" si="8"/>
        <v>2881692.8153470438</v>
      </c>
      <c r="AS20" s="172">
        <f t="shared" si="8"/>
        <v>3025777.4561143965</v>
      </c>
      <c r="AT20" s="172">
        <f t="shared" si="8"/>
        <v>3177066.3289201162</v>
      </c>
      <c r="AU20" s="172">
        <f t="shared" si="8"/>
        <v>3335919.645366122</v>
      </c>
      <c r="AV20" s="172">
        <f t="shared" si="8"/>
        <v>3502715.627634428</v>
      </c>
      <c r="AW20" s="172">
        <f t="shared" si="8"/>
        <v>3677851.4090161496</v>
      </c>
      <c r="AX20" s="172">
        <f t="shared" si="8"/>
        <v>3861743.979466957</v>
      </c>
      <c r="AY20" s="172">
        <f t="shared" si="8"/>
        <v>4054831.1784403049</v>
      </c>
      <c r="AZ20" s="172">
        <f t="shared" si="8"/>
        <v>4257572.7373623205</v>
      </c>
      <c r="BA20" s="172">
        <f t="shared" si="8"/>
        <v>4470451.374230437</v>
      </c>
      <c r="BB20" s="172">
        <f t="shared" si="8"/>
        <v>4693973.942941959</v>
      </c>
      <c r="BC20" s="172">
        <f t="shared" si="8"/>
        <v>4928672.6400890574</v>
      </c>
      <c r="BD20" s="172">
        <f t="shared" si="8"/>
        <v>5175106.2720935103</v>
      </c>
      <c r="BE20" s="172">
        <f t="shared" si="8"/>
        <v>5433861.5856981864</v>
      </c>
      <c r="BF20" s="172">
        <f t="shared" si="8"/>
        <v>5705554.6649830956</v>
      </c>
      <c r="BG20" s="172">
        <f t="shared" si="8"/>
        <v>5990832.3982322505</v>
      </c>
      <c r="BH20" s="172">
        <f t="shared" si="8"/>
        <v>6290374.0181438634</v>
      </c>
      <c r="BI20" s="172">
        <f t="shared" si="8"/>
        <v>6604892.7190510575</v>
      </c>
    </row>
    <row r="21" spans="1:62">
      <c r="A21" s="163"/>
      <c r="B21" s="288"/>
      <c r="C21" s="288"/>
      <c r="D21" s="288"/>
      <c r="E21" s="288"/>
      <c r="F21" s="288"/>
      <c r="G21" s="288"/>
      <c r="H21" s="288"/>
      <c r="I21" s="288"/>
      <c r="J21" s="288"/>
      <c r="K21" s="288"/>
      <c r="L21" s="288"/>
      <c r="M21" s="288"/>
      <c r="N21" s="288"/>
      <c r="O21" s="288"/>
      <c r="P21" s="288"/>
      <c r="Q21" s="288"/>
      <c r="R21" s="288"/>
      <c r="S21" s="288"/>
      <c r="T21" s="288"/>
      <c r="U21" s="288"/>
      <c r="V21" s="288"/>
      <c r="W21" s="288"/>
      <c r="X21" s="288"/>
      <c r="Y21" s="288"/>
      <c r="Z21" s="288"/>
      <c r="AA21" s="288"/>
      <c r="AB21" s="288"/>
      <c r="AC21" s="288"/>
      <c r="AD21" s="288"/>
      <c r="AE21" s="288"/>
      <c r="AF21" s="288"/>
      <c r="AG21" s="288"/>
      <c r="AH21" s="288"/>
      <c r="AI21" s="288"/>
      <c r="AJ21" s="288"/>
      <c r="AK21" s="288"/>
      <c r="AL21" s="288"/>
      <c r="AM21" s="288"/>
      <c r="AN21" s="288"/>
      <c r="AO21" s="288"/>
      <c r="AP21" s="288"/>
      <c r="AQ21" s="288"/>
      <c r="AR21" s="288"/>
      <c r="AS21" s="288"/>
      <c r="AT21" s="288"/>
      <c r="AU21" s="288"/>
      <c r="AV21" s="288"/>
      <c r="AW21" s="288"/>
      <c r="AX21" s="288"/>
      <c r="AY21" s="288"/>
      <c r="AZ21" s="288"/>
      <c r="BA21" s="288"/>
      <c r="BB21" s="288"/>
      <c r="BC21" s="288"/>
      <c r="BD21" s="288"/>
      <c r="BE21" s="288"/>
      <c r="BF21" s="288"/>
      <c r="BG21" s="288"/>
      <c r="BH21" s="288"/>
      <c r="BI21" s="288"/>
    </row>
    <row r="22" spans="1:62">
      <c r="A22" s="163"/>
      <c r="B22" s="288"/>
      <c r="C22" s="288"/>
      <c r="D22" s="288"/>
      <c r="E22" s="288"/>
      <c r="F22" s="288"/>
      <c r="G22" s="288"/>
      <c r="H22" s="288"/>
      <c r="I22" s="288"/>
      <c r="J22" s="288"/>
      <c r="K22" s="288"/>
      <c r="L22" s="288"/>
      <c r="M22" s="288"/>
      <c r="N22" s="288"/>
      <c r="O22" s="288"/>
      <c r="P22" s="288"/>
      <c r="Q22" s="288"/>
      <c r="R22" s="288"/>
      <c r="S22" s="288"/>
      <c r="T22" s="288"/>
      <c r="U22" s="288"/>
      <c r="V22" s="288"/>
      <c r="W22" s="288"/>
      <c r="X22" s="288"/>
      <c r="Y22" s="288"/>
      <c r="Z22" s="288"/>
      <c r="AA22" s="288"/>
      <c r="AB22" s="288"/>
      <c r="AC22" s="288"/>
      <c r="AD22" s="288"/>
      <c r="AE22" s="288"/>
      <c r="AF22" s="288"/>
      <c r="AG22" s="288"/>
      <c r="AH22" s="288"/>
      <c r="AI22" s="288"/>
      <c r="AJ22" s="288"/>
      <c r="AK22" s="288"/>
      <c r="AL22" s="288"/>
      <c r="AM22" s="288"/>
      <c r="AN22" s="288"/>
      <c r="AO22" s="288"/>
      <c r="AP22" s="288"/>
      <c r="AQ22" s="288"/>
      <c r="AR22" s="288"/>
      <c r="AS22" s="288"/>
      <c r="AT22" s="288"/>
      <c r="AU22" s="288"/>
      <c r="AV22" s="288"/>
      <c r="AW22" s="288"/>
      <c r="AX22" s="288"/>
      <c r="AY22" s="288"/>
      <c r="AZ22" s="288"/>
      <c r="BA22" s="288"/>
      <c r="BB22" s="288"/>
      <c r="BC22" s="288"/>
      <c r="BD22" s="288"/>
      <c r="BE22" s="288"/>
      <c r="BF22" s="288"/>
      <c r="BG22" s="288"/>
      <c r="BH22" s="288"/>
      <c r="BI22" s="288"/>
    </row>
    <row r="23" spans="1:62">
      <c r="A23" s="163"/>
      <c r="B23" s="288"/>
      <c r="C23" s="288"/>
      <c r="D23" s="288"/>
      <c r="E23" s="288"/>
      <c r="F23" s="288"/>
      <c r="G23" s="288"/>
      <c r="H23" s="288"/>
      <c r="I23" s="288"/>
      <c r="J23" s="288"/>
      <c r="K23" s="288"/>
      <c r="L23" s="288"/>
      <c r="M23" s="288"/>
      <c r="N23" s="288"/>
      <c r="O23" s="288"/>
      <c r="P23" s="288"/>
      <c r="Q23" s="288"/>
      <c r="R23" s="288"/>
      <c r="S23" s="288"/>
      <c r="T23" s="288"/>
      <c r="U23" s="288"/>
      <c r="V23" s="288"/>
      <c r="W23" s="288"/>
      <c r="X23" s="288"/>
      <c r="Y23" s="288"/>
      <c r="Z23" s="288"/>
      <c r="AA23" s="288"/>
      <c r="AB23" s="288"/>
      <c r="AC23" s="288"/>
      <c r="AD23" s="288"/>
      <c r="AE23" s="288"/>
      <c r="AF23" s="288"/>
      <c r="AG23" s="288"/>
      <c r="AH23" s="288"/>
      <c r="AI23" s="288"/>
      <c r="AJ23" s="288"/>
      <c r="AK23" s="288"/>
      <c r="AL23" s="288"/>
      <c r="AM23" s="288"/>
      <c r="AN23" s="288"/>
      <c r="AO23" s="288"/>
      <c r="AP23" s="288"/>
      <c r="AQ23" s="288"/>
      <c r="AR23" s="288"/>
      <c r="AS23" s="288"/>
      <c r="AT23" s="288"/>
      <c r="AU23" s="288"/>
      <c r="AV23" s="288"/>
      <c r="AW23" s="288"/>
      <c r="AX23" s="288"/>
      <c r="AY23" s="288"/>
      <c r="AZ23" s="288"/>
      <c r="BA23" s="288"/>
      <c r="BB23" s="288"/>
      <c r="BC23" s="288"/>
      <c r="BD23" s="288"/>
      <c r="BE23" s="288"/>
      <c r="BF23" s="288"/>
      <c r="BG23" s="288"/>
      <c r="BH23" s="288"/>
      <c r="BI23" s="288"/>
    </row>
    <row r="24" spans="1:62">
      <c r="A24" s="163"/>
      <c r="B24" s="288"/>
      <c r="C24" s="288"/>
      <c r="D24" s="288"/>
      <c r="E24" s="288"/>
      <c r="F24" s="288"/>
      <c r="G24" s="288"/>
      <c r="H24" s="288"/>
      <c r="I24" s="288"/>
      <c r="J24" s="288"/>
      <c r="K24" s="288"/>
      <c r="L24" s="288"/>
      <c r="M24" s="288"/>
      <c r="N24" s="288"/>
      <c r="O24" s="288"/>
      <c r="P24" s="288"/>
      <c r="Q24" s="288"/>
      <c r="R24" s="288"/>
      <c r="S24" s="288"/>
      <c r="T24" s="288"/>
      <c r="U24" s="288"/>
      <c r="V24" s="288"/>
      <c r="W24" s="288"/>
      <c r="X24" s="288"/>
      <c r="Y24" s="288"/>
      <c r="Z24" s="288"/>
      <c r="AA24" s="288"/>
      <c r="AB24" s="288"/>
      <c r="AC24" s="288"/>
      <c r="AD24" s="288"/>
      <c r="AE24" s="288"/>
      <c r="AF24" s="288"/>
      <c r="AG24" s="288"/>
      <c r="AH24" s="288"/>
      <c r="AI24" s="288"/>
      <c r="AJ24" s="288"/>
      <c r="AK24" s="288"/>
      <c r="AL24" s="288"/>
      <c r="AM24" s="288"/>
      <c r="AN24" s="288"/>
      <c r="AO24" s="288"/>
      <c r="AP24" s="288"/>
      <c r="AQ24" s="288"/>
      <c r="AR24" s="288"/>
      <c r="AS24" s="288"/>
      <c r="AT24" s="288"/>
      <c r="AU24" s="288"/>
      <c r="AV24" s="288"/>
      <c r="AW24" s="288"/>
      <c r="AX24" s="288"/>
      <c r="AY24" s="288"/>
      <c r="AZ24" s="288"/>
      <c r="BA24" s="288"/>
      <c r="BB24" s="288"/>
      <c r="BC24" s="288"/>
      <c r="BD24" s="288"/>
      <c r="BE24" s="288"/>
      <c r="BF24" s="288"/>
      <c r="BG24" s="288"/>
      <c r="BH24" s="288"/>
      <c r="BI24" s="288"/>
    </row>
    <row r="25" spans="1:62" ht="21">
      <c r="A25" s="315" t="s">
        <v>318</v>
      </c>
      <c r="B25" s="299"/>
      <c r="C25" s="165"/>
      <c r="D25" s="165"/>
      <c r="E25" s="165"/>
      <c r="F25" s="165"/>
      <c r="G25" s="165"/>
      <c r="H25" s="165"/>
      <c r="I25" s="167"/>
      <c r="J25" s="167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</row>
    <row r="26" spans="1:62" ht="17.399999999999999">
      <c r="A26" s="283" t="s">
        <v>275</v>
      </c>
      <c r="B26" s="298" t="s">
        <v>276</v>
      </c>
      <c r="C26" s="298" t="s">
        <v>277</v>
      </c>
      <c r="D26" s="298" t="s">
        <v>278</v>
      </c>
      <c r="E26" s="298" t="s">
        <v>279</v>
      </c>
      <c r="F26" s="298" t="s">
        <v>280</v>
      </c>
      <c r="G26" s="165"/>
      <c r="H26" s="167"/>
      <c r="I26" s="167"/>
      <c r="J26" s="167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</row>
    <row r="27" spans="1:62">
      <c r="A27" s="284" t="s">
        <v>292</v>
      </c>
      <c r="B27" s="169">
        <v>100000</v>
      </c>
      <c r="C27" s="285"/>
      <c r="D27" s="167"/>
      <c r="E27" s="167"/>
      <c r="F27" s="167"/>
      <c r="G27" s="167"/>
      <c r="H27" s="167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</row>
    <row r="28" spans="1:62">
      <c r="A28" s="284" t="s">
        <v>311</v>
      </c>
      <c r="B28" s="170">
        <v>3</v>
      </c>
      <c r="C28" s="164" t="s">
        <v>320</v>
      </c>
      <c r="D28" s="167"/>
      <c r="E28" s="167"/>
      <c r="F28" s="167"/>
      <c r="G28" s="167"/>
      <c r="H28" s="167"/>
      <c r="I28" s="167"/>
      <c r="J28" s="167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</row>
    <row r="29" spans="1:62">
      <c r="A29" s="284" t="s">
        <v>293</v>
      </c>
      <c r="B29" s="170">
        <v>5</v>
      </c>
      <c r="C29" s="164"/>
      <c r="D29" s="167"/>
      <c r="E29" s="167"/>
      <c r="F29" s="167"/>
      <c r="G29" s="167"/>
      <c r="H29" s="167"/>
      <c r="I29" s="167"/>
      <c r="J29" s="167"/>
      <c r="K29" s="167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  <c r="AE29" s="167"/>
      <c r="AF29" s="167"/>
      <c r="AG29" s="167"/>
      <c r="AH29" s="167"/>
      <c r="AI29" s="167"/>
      <c r="AJ29" s="167"/>
      <c r="AK29" s="167"/>
      <c r="AL29" s="167"/>
      <c r="AM29" s="167"/>
      <c r="AN29" s="167"/>
      <c r="AO29" s="167"/>
      <c r="AP29" s="167"/>
      <c r="AQ29" s="167"/>
      <c r="AR29" s="167"/>
      <c r="AS29" s="167"/>
      <c r="AT29" s="167"/>
      <c r="AU29" s="167"/>
      <c r="AV29" s="167"/>
      <c r="AW29" s="167"/>
      <c r="AX29" s="167"/>
      <c r="AY29" s="167"/>
      <c r="AZ29" s="167"/>
      <c r="BA29" s="167"/>
      <c r="BB29" s="167"/>
      <c r="BC29" s="167"/>
      <c r="BD29" s="167"/>
      <c r="BE29" s="167"/>
      <c r="BF29" s="167"/>
      <c r="BG29" s="167"/>
      <c r="BH29" s="167"/>
      <c r="BI29" s="167"/>
      <c r="BJ29" s="167"/>
    </row>
    <row r="30" spans="1:62">
      <c r="A30" s="168" t="s">
        <v>265</v>
      </c>
      <c r="B30" s="282">
        <f>Assumptions!B3</f>
        <v>0.03</v>
      </c>
      <c r="C30" s="282">
        <f>Assumptions!C3</f>
        <v>0.1</v>
      </c>
      <c r="D30" s="282">
        <f>Assumptions!D3</f>
        <v>0.05</v>
      </c>
      <c r="E30" s="282">
        <f>Assumptions!E3</f>
        <v>0.05</v>
      </c>
      <c r="F30" s="282">
        <f>Assumptions!F3</f>
        <v>0.05</v>
      </c>
      <c r="G30" s="167"/>
      <c r="H30" s="167"/>
      <c r="I30" s="167"/>
      <c r="J30" s="167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  <c r="AB30" s="167"/>
      <c r="AC30" s="167"/>
      <c r="AD30" s="167"/>
      <c r="AE30" s="167"/>
      <c r="AF30" s="167"/>
      <c r="AG30" s="167"/>
      <c r="AH30" s="167"/>
      <c r="AI30" s="167"/>
      <c r="AJ30" s="167"/>
      <c r="AK30" s="167"/>
      <c r="AL30" s="167"/>
      <c r="AM30" s="167"/>
      <c r="AN30" s="167"/>
      <c r="AO30" s="167"/>
      <c r="AP30" s="167"/>
      <c r="AQ30" s="167"/>
      <c r="AR30" s="167"/>
      <c r="AS30" s="167"/>
      <c r="AT30" s="167"/>
      <c r="AU30" s="167"/>
      <c r="AV30" s="167"/>
      <c r="AW30" s="167"/>
      <c r="AX30" s="167"/>
      <c r="AY30" s="167"/>
      <c r="AZ30" s="167"/>
      <c r="BA30" s="167"/>
      <c r="BB30" s="167"/>
      <c r="BC30" s="167"/>
      <c r="BD30" s="167"/>
      <c r="BE30" s="167"/>
      <c r="BF30" s="167"/>
      <c r="BG30" s="167"/>
      <c r="BH30" s="167"/>
      <c r="BI30" s="167"/>
      <c r="BJ30" s="167"/>
    </row>
    <row r="31" spans="1:62">
      <c r="A31" s="163"/>
      <c r="B31" s="164"/>
      <c r="C31" s="164"/>
      <c r="D31" s="167"/>
      <c r="E31" s="167"/>
      <c r="F31" s="167"/>
      <c r="G31" s="167"/>
      <c r="H31" s="167"/>
      <c r="I31" s="167"/>
      <c r="J31" s="167"/>
      <c r="K31" s="167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  <c r="AA31" s="167"/>
      <c r="AB31" s="167"/>
      <c r="AC31" s="167"/>
      <c r="AD31" s="167"/>
      <c r="AE31" s="167"/>
      <c r="AF31" s="167"/>
      <c r="AG31" s="167"/>
      <c r="AH31" s="167"/>
      <c r="AI31" s="167"/>
      <c r="AJ31" s="167"/>
      <c r="AK31" s="167"/>
      <c r="AL31" s="167"/>
      <c r="AM31" s="167"/>
      <c r="AN31" s="167"/>
      <c r="AO31" s="167"/>
      <c r="AP31" s="167"/>
      <c r="AQ31" s="167"/>
      <c r="AR31" s="167"/>
      <c r="AS31" s="167"/>
      <c r="AT31" s="167"/>
      <c r="AU31" s="167"/>
      <c r="AV31" s="167"/>
      <c r="AW31" s="167"/>
      <c r="AX31" s="167"/>
      <c r="AY31" s="167"/>
      <c r="AZ31" s="167"/>
      <c r="BA31" s="167"/>
      <c r="BB31" s="167"/>
      <c r="BC31" s="167"/>
      <c r="BD31" s="167"/>
      <c r="BE31" s="167"/>
      <c r="BF31" s="167"/>
      <c r="BG31" s="167"/>
      <c r="BH31" s="167"/>
      <c r="BI31" s="167"/>
      <c r="BJ31" s="167"/>
    </row>
    <row r="32" spans="1:62" ht="17.399999999999999">
      <c r="A32" s="166" t="s">
        <v>172</v>
      </c>
      <c r="B32" s="171" t="s">
        <v>15</v>
      </c>
      <c r="C32" s="171" t="s">
        <v>41</v>
      </c>
      <c r="D32" s="171" t="s">
        <v>42</v>
      </c>
      <c r="E32" s="171" t="s">
        <v>43</v>
      </c>
      <c r="F32" s="171" t="s">
        <v>44</v>
      </c>
      <c r="G32" s="171" t="s">
        <v>45</v>
      </c>
      <c r="H32" s="171" t="s">
        <v>46</v>
      </c>
      <c r="I32" s="171" t="s">
        <v>47</v>
      </c>
      <c r="J32" s="171" t="s">
        <v>48</v>
      </c>
      <c r="K32" s="171" t="s">
        <v>49</v>
      </c>
      <c r="L32" s="171" t="s">
        <v>50</v>
      </c>
      <c r="M32" s="171" t="s">
        <v>51</v>
      </c>
      <c r="N32" s="171" t="s">
        <v>20</v>
      </c>
      <c r="O32" s="171" t="s">
        <v>52</v>
      </c>
      <c r="P32" s="171" t="s">
        <v>53</v>
      </c>
      <c r="Q32" s="171" t="s">
        <v>54</v>
      </c>
      <c r="R32" s="171" t="s">
        <v>55</v>
      </c>
      <c r="S32" s="171" t="s">
        <v>56</v>
      </c>
      <c r="T32" s="171" t="s">
        <v>57</v>
      </c>
      <c r="U32" s="171" t="s">
        <v>58</v>
      </c>
      <c r="V32" s="171" t="s">
        <v>59</v>
      </c>
      <c r="W32" s="171" t="s">
        <v>60</v>
      </c>
      <c r="X32" s="171" t="s">
        <v>61</v>
      </c>
      <c r="Y32" s="171" t="s">
        <v>62</v>
      </c>
      <c r="Z32" s="171" t="s">
        <v>63</v>
      </c>
      <c r="AA32" s="171" t="s">
        <v>64</v>
      </c>
      <c r="AB32" s="171" t="s">
        <v>65</v>
      </c>
      <c r="AC32" s="171" t="s">
        <v>66</v>
      </c>
      <c r="AD32" s="171" t="s">
        <v>67</v>
      </c>
      <c r="AE32" s="171" t="s">
        <v>68</v>
      </c>
      <c r="AF32" s="171" t="s">
        <v>69</v>
      </c>
      <c r="AG32" s="171" t="s">
        <v>70</v>
      </c>
      <c r="AH32" s="171" t="s">
        <v>71</v>
      </c>
      <c r="AI32" s="171" t="s">
        <v>72</v>
      </c>
      <c r="AJ32" s="171" t="s">
        <v>73</v>
      </c>
      <c r="AK32" s="171" t="s">
        <v>74</v>
      </c>
      <c r="AL32" s="171" t="s">
        <v>75</v>
      </c>
      <c r="AM32" s="171" t="s">
        <v>76</v>
      </c>
      <c r="AN32" s="171" t="s">
        <v>77</v>
      </c>
      <c r="AO32" s="171" t="s">
        <v>78</v>
      </c>
      <c r="AP32" s="171" t="s">
        <v>79</v>
      </c>
      <c r="AQ32" s="171" t="s">
        <v>80</v>
      </c>
      <c r="AR32" s="171" t="s">
        <v>81</v>
      </c>
      <c r="AS32" s="171" t="s">
        <v>82</v>
      </c>
      <c r="AT32" s="171" t="s">
        <v>83</v>
      </c>
      <c r="AU32" s="171" t="s">
        <v>84</v>
      </c>
      <c r="AV32" s="171" t="s">
        <v>85</v>
      </c>
      <c r="AW32" s="171" t="s">
        <v>86</v>
      </c>
      <c r="AX32" s="171" t="s">
        <v>87</v>
      </c>
      <c r="AY32" s="171" t="s">
        <v>88</v>
      </c>
      <c r="AZ32" s="171" t="s">
        <v>89</v>
      </c>
      <c r="BA32" s="171" t="s">
        <v>90</v>
      </c>
      <c r="BB32" s="171" t="s">
        <v>91</v>
      </c>
      <c r="BC32" s="171" t="s">
        <v>92</v>
      </c>
      <c r="BD32" s="171" t="s">
        <v>93</v>
      </c>
      <c r="BE32" s="171" t="s">
        <v>94</v>
      </c>
      <c r="BF32" s="171" t="s">
        <v>95</v>
      </c>
      <c r="BG32" s="171" t="s">
        <v>96</v>
      </c>
      <c r="BH32" s="171" t="s">
        <v>97</v>
      </c>
      <c r="BI32" s="171" t="s">
        <v>98</v>
      </c>
    </row>
    <row r="33" spans="1:63">
      <c r="A33" s="284" t="s">
        <v>300</v>
      </c>
      <c r="B33" s="170">
        <v>0</v>
      </c>
      <c r="C33" s="170">
        <f t="shared" ref="C33" si="9">B33*(1+$B$16)</f>
        <v>0</v>
      </c>
      <c r="D33" s="170">
        <f t="shared" ref="D33" si="10">C33*(1+$B$16)</f>
        <v>0</v>
      </c>
      <c r="E33" s="170">
        <f t="shared" ref="E33" si="11">D33*(1+$B$16)</f>
        <v>0</v>
      </c>
      <c r="F33" s="170">
        <f t="shared" ref="F33" si="12">E33*(1+$B$16)</f>
        <v>0</v>
      </c>
      <c r="G33" s="170">
        <f t="shared" ref="G33" si="13">F33*(1+$B$16)</f>
        <v>0</v>
      </c>
      <c r="H33" s="170">
        <f t="shared" ref="H33" si="14">G33*(1+$B$16)</f>
        <v>0</v>
      </c>
      <c r="I33" s="170">
        <f t="shared" ref="I33" si="15">H33*(1+$B$16)</f>
        <v>0</v>
      </c>
      <c r="J33" s="170">
        <f t="shared" ref="J33" si="16">I33*(1+$B$16)</f>
        <v>0</v>
      </c>
      <c r="K33" s="170">
        <f t="shared" ref="K33" si="17">J33*(1+$B$16)</f>
        <v>0</v>
      </c>
      <c r="L33" s="170">
        <f t="shared" ref="L33" si="18">K33*(1+$B$16)</f>
        <v>0</v>
      </c>
      <c r="M33" s="170">
        <f t="shared" ref="M33" si="19">L33*(1+$B$16)</f>
        <v>0</v>
      </c>
      <c r="N33" s="170">
        <f>B28*B29</f>
        <v>15</v>
      </c>
      <c r="O33" s="170">
        <f t="shared" ref="O33" si="20">N33*(1+$C$16)</f>
        <v>16.5</v>
      </c>
      <c r="P33" s="170">
        <f t="shared" ref="P33" si="21">O33*(1+$C$16)</f>
        <v>18.150000000000002</v>
      </c>
      <c r="Q33" s="170">
        <f t="shared" ref="Q33" si="22">P33*(1+$C$16)</f>
        <v>19.965000000000003</v>
      </c>
      <c r="R33" s="170">
        <f t="shared" ref="R33" si="23">Q33*(1+$C$16)</f>
        <v>21.961500000000004</v>
      </c>
      <c r="S33" s="170">
        <f t="shared" ref="S33" si="24">R33*(1+$C$16)</f>
        <v>24.157650000000007</v>
      </c>
      <c r="T33" s="170">
        <f t="shared" ref="T33" si="25">S33*(1+$C$16)</f>
        <v>26.573415000000011</v>
      </c>
      <c r="U33" s="170">
        <f t="shared" ref="U33" si="26">T33*(1+$C$16)</f>
        <v>29.230756500000016</v>
      </c>
      <c r="V33" s="170">
        <f t="shared" ref="V33" si="27">U33*(1+$C$16)</f>
        <v>32.153832150000021</v>
      </c>
      <c r="W33" s="170">
        <f t="shared" ref="W33" si="28">V33*(1+$C$16)</f>
        <v>35.369215365000024</v>
      </c>
      <c r="X33" s="170">
        <f t="shared" ref="X33" si="29">W33*(1+$C$16)</f>
        <v>38.906136901500027</v>
      </c>
      <c r="Y33" s="170">
        <f t="shared" ref="Y33" si="30">X33*(1+$C$16)</f>
        <v>42.796750591650031</v>
      </c>
      <c r="Z33" s="170">
        <f>Y33*(1+$D$16)</f>
        <v>44.936588121232532</v>
      </c>
      <c r="AA33" s="170">
        <f t="shared" ref="AA33" si="31">Z33*(1+$D$16)</f>
        <v>47.183417527294161</v>
      </c>
      <c r="AB33" s="170">
        <f t="shared" ref="AB33" si="32">AA33*(1+$D$16)</f>
        <v>49.542588403658868</v>
      </c>
      <c r="AC33" s="170">
        <f t="shared" ref="AC33" si="33">AB33*(1+$D$16)</f>
        <v>52.019717823841816</v>
      </c>
      <c r="AD33" s="170">
        <f t="shared" ref="AD33" si="34">AC33*(1+$D$16)</f>
        <v>54.620703715033912</v>
      </c>
      <c r="AE33" s="170">
        <f t="shared" ref="AE33" si="35">AD33*(1+$D$16)</f>
        <v>57.351738900785612</v>
      </c>
      <c r="AF33" s="170">
        <f t="shared" ref="AF33" si="36">AE33*(1+$D$16)</f>
        <v>60.219325845824898</v>
      </c>
      <c r="AG33" s="170">
        <f t="shared" ref="AG33" si="37">AF33*(1+$D$16)</f>
        <v>63.230292138116148</v>
      </c>
      <c r="AH33" s="170">
        <f t="shared" ref="AH33" si="38">AG33*(1+$D$16)</f>
        <v>66.391806745021952</v>
      </c>
      <c r="AI33" s="170">
        <f t="shared" ref="AI33" si="39">AH33*(1+$D$16)</f>
        <v>69.711397082273052</v>
      </c>
      <c r="AJ33" s="170">
        <f t="shared" ref="AJ33" si="40">AI33*(1+$D$16)</f>
        <v>73.196966936386701</v>
      </c>
      <c r="AK33" s="170">
        <f t="shared" ref="AK33" si="41">AJ33*(1+$D$16)</f>
        <v>76.856815283206046</v>
      </c>
      <c r="AL33" s="170">
        <f>AK33*(1+$E$16)</f>
        <v>80.699656047366346</v>
      </c>
      <c r="AM33" s="170">
        <f t="shared" ref="AM33" si="42">AL33*(1+$E$16)</f>
        <v>84.734638849734665</v>
      </c>
      <c r="AN33" s="170">
        <f t="shared" ref="AN33" si="43">AM33*(1+$E$16)</f>
        <v>88.971370792221407</v>
      </c>
      <c r="AO33" s="170">
        <f t="shared" ref="AO33" si="44">AN33*(1+$E$16)</f>
        <v>93.419939331832481</v>
      </c>
      <c r="AP33" s="170">
        <f t="shared" ref="AP33" si="45">AO33*(1+$E$16)</f>
        <v>98.090936298424111</v>
      </c>
      <c r="AQ33" s="170">
        <f t="shared" ref="AQ33" si="46">AP33*(1+$E$16)</f>
        <v>102.99548311334532</v>
      </c>
      <c r="AR33" s="170">
        <f t="shared" ref="AR33" si="47">AQ33*(1+$E$16)</f>
        <v>108.14525726901259</v>
      </c>
      <c r="AS33" s="170">
        <f t="shared" ref="AS33" si="48">AR33*(1+$E$16)</f>
        <v>113.55252013246323</v>
      </c>
      <c r="AT33" s="170">
        <f t="shared" ref="AT33" si="49">AS33*(1+$E$16)</f>
        <v>119.2301461390864</v>
      </c>
      <c r="AU33" s="170">
        <f t="shared" ref="AU33" si="50">AT33*(1+$E$16)</f>
        <v>125.19165344604073</v>
      </c>
      <c r="AV33" s="170">
        <f t="shared" ref="AV33" si="51">AU33*(1+$E$16)</f>
        <v>131.45123611834276</v>
      </c>
      <c r="AW33" s="170">
        <f t="shared" ref="AW33" si="52">AV33*(1+$E$16)</f>
        <v>138.0237979242599</v>
      </c>
      <c r="AX33" s="170">
        <f>AW33*(1+$F$16)</f>
        <v>144.92498782047289</v>
      </c>
      <c r="AY33" s="170">
        <f t="shared" ref="AY33" si="53">AX33*(1+$F$16)</f>
        <v>152.17123721149653</v>
      </c>
      <c r="AZ33" s="170">
        <f t="shared" ref="AZ33" si="54">AY33*(1+$F$16)</f>
        <v>159.77979907207137</v>
      </c>
      <c r="BA33" s="170">
        <f t="shared" ref="BA33" si="55">AZ33*(1+$F$16)</f>
        <v>167.76878902567495</v>
      </c>
      <c r="BB33" s="170">
        <f t="shared" ref="BB33" si="56">BA33*(1+$F$16)</f>
        <v>176.15722847695869</v>
      </c>
      <c r="BC33" s="170">
        <f t="shared" ref="BC33" si="57">BB33*(1+$F$16)</f>
        <v>184.96508990080665</v>
      </c>
      <c r="BD33" s="170">
        <f t="shared" ref="BD33" si="58">BC33*(1+$F$16)</f>
        <v>194.21334439584697</v>
      </c>
      <c r="BE33" s="170">
        <f t="shared" ref="BE33" si="59">BD33*(1+$F$16)</f>
        <v>203.92401161563933</v>
      </c>
      <c r="BF33" s="170">
        <f t="shared" ref="BF33" si="60">BE33*(1+$F$16)</f>
        <v>214.12021219642131</v>
      </c>
      <c r="BG33" s="170">
        <f t="shared" ref="BG33" si="61">BF33*(1+$F$16)</f>
        <v>224.82622280624238</v>
      </c>
      <c r="BH33" s="170">
        <f t="shared" ref="BH33" si="62">BG33*(1+$F$16)</f>
        <v>236.06753394655451</v>
      </c>
      <c r="BI33" s="170">
        <f t="shared" ref="BI33" si="63">BH33*(1+$F$16)</f>
        <v>247.87091064388224</v>
      </c>
    </row>
    <row r="34" spans="1:63">
      <c r="A34" s="168" t="str">
        <f>A25</f>
        <v>Upgraded Units Sales Revenue</v>
      </c>
      <c r="B34" s="172">
        <f t="shared" ref="B34:M34" si="64">$B$27*B33</f>
        <v>0</v>
      </c>
      <c r="C34" s="172">
        <f t="shared" si="64"/>
        <v>0</v>
      </c>
      <c r="D34" s="172">
        <f t="shared" si="64"/>
        <v>0</v>
      </c>
      <c r="E34" s="172">
        <f t="shared" si="64"/>
        <v>0</v>
      </c>
      <c r="F34" s="172">
        <f t="shared" si="64"/>
        <v>0</v>
      </c>
      <c r="G34" s="172">
        <f t="shared" si="64"/>
        <v>0</v>
      </c>
      <c r="H34" s="172">
        <f t="shared" si="64"/>
        <v>0</v>
      </c>
      <c r="I34" s="172">
        <f t="shared" si="64"/>
        <v>0</v>
      </c>
      <c r="J34" s="172">
        <f t="shared" si="64"/>
        <v>0</v>
      </c>
      <c r="K34" s="172">
        <f t="shared" si="64"/>
        <v>0</v>
      </c>
      <c r="L34" s="172">
        <f t="shared" si="64"/>
        <v>0</v>
      </c>
      <c r="M34" s="172">
        <f t="shared" si="64"/>
        <v>0</v>
      </c>
      <c r="N34" s="172">
        <f>$B$27*N33/12</f>
        <v>125000</v>
      </c>
      <c r="O34" s="172">
        <f t="shared" ref="O34:BI34" si="65">$B$27*O33/12</f>
        <v>137500</v>
      </c>
      <c r="P34" s="172">
        <f t="shared" si="65"/>
        <v>151250.00000000003</v>
      </c>
      <c r="Q34" s="172">
        <f t="shared" si="65"/>
        <v>166375.00000000003</v>
      </c>
      <c r="R34" s="172">
        <f t="shared" si="65"/>
        <v>183012.50000000003</v>
      </c>
      <c r="S34" s="172">
        <f t="shared" si="65"/>
        <v>201313.75000000009</v>
      </c>
      <c r="T34" s="172">
        <f t="shared" si="65"/>
        <v>221445.12500000009</v>
      </c>
      <c r="U34" s="172">
        <f t="shared" si="65"/>
        <v>243589.63750000016</v>
      </c>
      <c r="V34" s="172">
        <f t="shared" si="65"/>
        <v>267948.60125000018</v>
      </c>
      <c r="W34" s="172">
        <f t="shared" si="65"/>
        <v>294743.46137500019</v>
      </c>
      <c r="X34" s="172">
        <f t="shared" si="65"/>
        <v>324217.80751250021</v>
      </c>
      <c r="Y34" s="172">
        <f t="shared" si="65"/>
        <v>356639.58826375025</v>
      </c>
      <c r="Z34" s="172">
        <f t="shared" si="65"/>
        <v>374471.56767693773</v>
      </c>
      <c r="AA34" s="172">
        <f t="shared" si="65"/>
        <v>393195.14606078464</v>
      </c>
      <c r="AB34" s="172">
        <f t="shared" si="65"/>
        <v>412854.90336382389</v>
      </c>
      <c r="AC34" s="172">
        <f t="shared" si="65"/>
        <v>433497.6485320151</v>
      </c>
      <c r="AD34" s="172">
        <f t="shared" si="65"/>
        <v>455172.53095861594</v>
      </c>
      <c r="AE34" s="172">
        <f t="shared" si="65"/>
        <v>477931.15750654676</v>
      </c>
      <c r="AF34" s="172">
        <f t="shared" si="65"/>
        <v>501827.71538187418</v>
      </c>
      <c r="AG34" s="172">
        <f t="shared" si="65"/>
        <v>526919.10115096788</v>
      </c>
      <c r="AH34" s="172">
        <f t="shared" si="65"/>
        <v>553265.05620851624</v>
      </c>
      <c r="AI34" s="172">
        <f t="shared" si="65"/>
        <v>580928.30901894218</v>
      </c>
      <c r="AJ34" s="172">
        <f t="shared" si="65"/>
        <v>609974.72446988919</v>
      </c>
      <c r="AK34" s="172">
        <f t="shared" si="65"/>
        <v>640473.46069338371</v>
      </c>
      <c r="AL34" s="172">
        <f t="shared" si="65"/>
        <v>672497.13372805284</v>
      </c>
      <c r="AM34" s="172">
        <f t="shared" si="65"/>
        <v>706121.99041445553</v>
      </c>
      <c r="AN34" s="172">
        <f t="shared" si="65"/>
        <v>741428.0899351784</v>
      </c>
      <c r="AO34" s="172">
        <f t="shared" si="65"/>
        <v>778499.49443193723</v>
      </c>
      <c r="AP34" s="172">
        <f t="shared" si="65"/>
        <v>817424.46915353427</v>
      </c>
      <c r="AQ34" s="172">
        <f t="shared" si="65"/>
        <v>858295.69261121098</v>
      </c>
      <c r="AR34" s="172">
        <f t="shared" si="65"/>
        <v>901210.47724177164</v>
      </c>
      <c r="AS34" s="172">
        <f t="shared" si="65"/>
        <v>946271.00110386021</v>
      </c>
      <c r="AT34" s="172">
        <f t="shared" si="65"/>
        <v>993584.55115905323</v>
      </c>
      <c r="AU34" s="172">
        <f t="shared" si="65"/>
        <v>1043263.7787170061</v>
      </c>
      <c r="AV34" s="172">
        <f t="shared" si="65"/>
        <v>1095426.9676528564</v>
      </c>
      <c r="AW34" s="172">
        <f t="shared" si="65"/>
        <v>1150198.3160354991</v>
      </c>
      <c r="AX34" s="172">
        <f t="shared" si="65"/>
        <v>1207708.231837274</v>
      </c>
      <c r="AY34" s="172">
        <f t="shared" si="65"/>
        <v>1268093.6434291378</v>
      </c>
      <c r="AZ34" s="172">
        <f t="shared" si="65"/>
        <v>1331498.3256005947</v>
      </c>
      <c r="BA34" s="172">
        <f t="shared" si="65"/>
        <v>1398073.2418806246</v>
      </c>
      <c r="BB34" s="172">
        <f t="shared" si="65"/>
        <v>1467976.9039746558</v>
      </c>
      <c r="BC34" s="172">
        <f t="shared" si="65"/>
        <v>1541375.7491733888</v>
      </c>
      <c r="BD34" s="172">
        <f t="shared" si="65"/>
        <v>1618444.5366320582</v>
      </c>
      <c r="BE34" s="172">
        <f t="shared" si="65"/>
        <v>1699366.7634636611</v>
      </c>
      <c r="BF34" s="172">
        <f t="shared" si="65"/>
        <v>1784335.101636844</v>
      </c>
      <c r="BG34" s="172">
        <f t="shared" si="65"/>
        <v>1873551.8567186864</v>
      </c>
      <c r="BH34" s="172">
        <f t="shared" si="65"/>
        <v>1967229.449554621</v>
      </c>
      <c r="BI34" s="172">
        <f t="shared" si="65"/>
        <v>2065590.9220323518</v>
      </c>
    </row>
    <row r="35" spans="1:63">
      <c r="A35" s="163"/>
      <c r="B35" s="288"/>
      <c r="C35" s="288"/>
      <c r="D35" s="288"/>
      <c r="E35" s="288"/>
      <c r="F35" s="288"/>
      <c r="G35" s="288"/>
      <c r="H35" s="288"/>
      <c r="I35" s="288"/>
      <c r="J35" s="288"/>
      <c r="K35" s="288"/>
      <c r="L35" s="288"/>
      <c r="M35" s="288"/>
      <c r="N35" s="288"/>
      <c r="O35" s="288"/>
      <c r="P35" s="288"/>
      <c r="Q35" s="288"/>
      <c r="R35" s="288"/>
      <c r="S35" s="288"/>
      <c r="T35" s="288"/>
      <c r="U35" s="288"/>
      <c r="V35" s="288"/>
      <c r="W35" s="288"/>
      <c r="X35" s="288"/>
      <c r="Y35" s="288"/>
      <c r="Z35" s="288"/>
      <c r="AA35" s="288"/>
      <c r="AB35" s="288"/>
      <c r="AC35" s="288"/>
      <c r="AD35" s="288"/>
      <c r="AE35" s="288"/>
      <c r="AF35" s="288"/>
      <c r="AG35" s="288"/>
      <c r="AH35" s="288"/>
      <c r="AI35" s="288"/>
      <c r="AJ35" s="288"/>
      <c r="AK35" s="288"/>
      <c r="AL35" s="288"/>
      <c r="AM35" s="288"/>
      <c r="AN35" s="288"/>
      <c r="AO35" s="288"/>
      <c r="AP35" s="288"/>
      <c r="AQ35" s="288"/>
      <c r="AR35" s="288"/>
      <c r="AS35" s="288"/>
      <c r="AT35" s="288"/>
      <c r="AU35" s="288"/>
      <c r="AV35" s="288"/>
      <c r="AW35" s="288"/>
      <c r="AX35" s="288"/>
      <c r="AY35" s="288"/>
      <c r="AZ35" s="288"/>
      <c r="BA35" s="288"/>
      <c r="BB35" s="288"/>
      <c r="BC35" s="288"/>
      <c r="BD35" s="288"/>
      <c r="BE35" s="288"/>
      <c r="BF35" s="288"/>
      <c r="BG35" s="288"/>
      <c r="BH35" s="288"/>
      <c r="BI35" s="288"/>
    </row>
    <row r="36" spans="1:63">
      <c r="A36" s="163"/>
      <c r="B36" s="288"/>
      <c r="C36" s="288"/>
      <c r="D36" s="288"/>
      <c r="E36" s="288"/>
      <c r="F36" s="288"/>
      <c r="G36" s="288"/>
      <c r="H36" s="288"/>
      <c r="I36" s="288"/>
      <c r="J36" s="288"/>
      <c r="K36" s="288"/>
      <c r="L36" s="288"/>
      <c r="M36" s="288"/>
      <c r="N36" s="288"/>
      <c r="O36" s="288"/>
      <c r="P36" s="288"/>
      <c r="Q36" s="288"/>
      <c r="R36" s="288"/>
      <c r="S36" s="288"/>
      <c r="T36" s="288"/>
      <c r="U36" s="288"/>
      <c r="V36" s="288"/>
      <c r="W36" s="288"/>
      <c r="X36" s="288"/>
      <c r="Y36" s="288"/>
      <c r="Z36" s="288"/>
      <c r="AA36" s="288"/>
      <c r="AB36" s="288"/>
      <c r="AC36" s="288"/>
      <c r="AD36" s="288"/>
      <c r="AE36" s="288"/>
      <c r="AF36" s="288"/>
      <c r="AG36" s="288"/>
      <c r="AH36" s="288"/>
      <c r="AI36" s="288"/>
      <c r="AJ36" s="288"/>
      <c r="AK36" s="288"/>
      <c r="AL36" s="288"/>
      <c r="AM36" s="288"/>
      <c r="AN36" s="288"/>
      <c r="AO36" s="288"/>
      <c r="AP36" s="288"/>
      <c r="AQ36" s="288"/>
      <c r="AR36" s="288"/>
      <c r="AS36" s="288"/>
      <c r="AT36" s="288"/>
      <c r="AU36" s="288"/>
      <c r="AV36" s="288"/>
      <c r="AW36" s="288"/>
      <c r="AX36" s="288"/>
      <c r="AY36" s="288"/>
      <c r="AZ36" s="288"/>
      <c r="BA36" s="288"/>
      <c r="BB36" s="288"/>
      <c r="BC36" s="288"/>
      <c r="BD36" s="288"/>
      <c r="BE36" s="288"/>
      <c r="BF36" s="288"/>
      <c r="BG36" s="288"/>
      <c r="BH36" s="288"/>
      <c r="BI36" s="288"/>
    </row>
    <row r="37" spans="1:63">
      <c r="A37" s="163"/>
      <c r="B37" s="288"/>
      <c r="C37" s="288"/>
      <c r="D37" s="288"/>
      <c r="E37" s="288"/>
      <c r="F37" s="288"/>
      <c r="G37" s="288"/>
      <c r="H37" s="288"/>
      <c r="I37" s="288"/>
      <c r="J37" s="288"/>
      <c r="K37" s="288"/>
      <c r="L37" s="288"/>
      <c r="M37" s="288"/>
      <c r="N37" s="288"/>
      <c r="O37" s="288"/>
      <c r="P37" s="288"/>
      <c r="Q37" s="288"/>
      <c r="R37" s="288"/>
      <c r="S37" s="288"/>
      <c r="T37" s="288"/>
      <c r="U37" s="288"/>
      <c r="V37" s="288"/>
      <c r="W37" s="288"/>
      <c r="X37" s="288"/>
      <c r="Y37" s="288"/>
      <c r="Z37" s="288"/>
      <c r="AA37" s="288"/>
      <c r="AB37" s="288"/>
      <c r="AC37" s="288"/>
      <c r="AD37" s="288"/>
      <c r="AE37" s="288"/>
      <c r="AF37" s="288"/>
      <c r="AG37" s="288"/>
      <c r="AH37" s="288"/>
      <c r="AI37" s="288"/>
      <c r="AJ37" s="288"/>
      <c r="AK37" s="288"/>
      <c r="AL37" s="288"/>
      <c r="AM37" s="288"/>
      <c r="AN37" s="288"/>
      <c r="AO37" s="288"/>
      <c r="AP37" s="288"/>
      <c r="AQ37" s="288"/>
      <c r="AR37" s="288"/>
      <c r="AS37" s="288"/>
      <c r="AT37" s="288"/>
      <c r="AU37" s="288"/>
      <c r="AV37" s="288"/>
      <c r="AW37" s="288"/>
      <c r="AX37" s="288"/>
      <c r="AY37" s="288"/>
      <c r="AZ37" s="288"/>
      <c r="BA37" s="288"/>
      <c r="BB37" s="288"/>
      <c r="BC37" s="288"/>
      <c r="BD37" s="288"/>
      <c r="BE37" s="288"/>
      <c r="BF37" s="288"/>
      <c r="BG37" s="288"/>
      <c r="BH37" s="288"/>
      <c r="BI37" s="288"/>
    </row>
    <row r="38" spans="1:63">
      <c r="A38" s="163"/>
      <c r="B38" s="288"/>
      <c r="C38" s="288"/>
      <c r="D38" s="288"/>
      <c r="E38" s="288"/>
      <c r="F38" s="288"/>
      <c r="G38" s="288"/>
      <c r="H38" s="288"/>
      <c r="I38" s="288"/>
      <c r="J38" s="288"/>
      <c r="K38" s="288"/>
      <c r="L38" s="288"/>
      <c r="M38" s="288"/>
      <c r="N38" s="288"/>
      <c r="O38" s="288"/>
      <c r="P38" s="288"/>
      <c r="Q38" s="288"/>
      <c r="R38" s="288"/>
      <c r="S38" s="288"/>
      <c r="T38" s="288"/>
      <c r="U38" s="288"/>
      <c r="V38" s="288"/>
      <c r="W38" s="288"/>
      <c r="X38" s="288"/>
      <c r="Y38" s="288"/>
      <c r="Z38" s="288"/>
      <c r="AA38" s="288"/>
      <c r="AB38" s="288"/>
      <c r="AC38" s="288"/>
      <c r="AD38" s="288"/>
      <c r="AE38" s="288"/>
      <c r="AF38" s="288"/>
      <c r="AG38" s="288"/>
      <c r="AH38" s="288"/>
      <c r="AI38" s="288"/>
      <c r="AJ38" s="288"/>
      <c r="AK38" s="288"/>
      <c r="AL38" s="288"/>
      <c r="AM38" s="288"/>
      <c r="AN38" s="288"/>
      <c r="AO38" s="288"/>
      <c r="AP38" s="288"/>
      <c r="AQ38" s="288"/>
      <c r="AR38" s="288"/>
      <c r="AS38" s="288"/>
      <c r="AT38" s="288"/>
      <c r="AU38" s="288"/>
      <c r="AV38" s="288"/>
      <c r="AW38" s="288"/>
      <c r="AX38" s="288"/>
      <c r="AY38" s="288"/>
      <c r="AZ38" s="288"/>
      <c r="BA38" s="288"/>
      <c r="BB38" s="288"/>
      <c r="BC38" s="288"/>
      <c r="BD38" s="288"/>
      <c r="BE38" s="288"/>
      <c r="BF38" s="288"/>
      <c r="BG38" s="288"/>
      <c r="BH38" s="288"/>
      <c r="BI38" s="288"/>
    </row>
    <row r="39" spans="1:63" s="280" customFormat="1" ht="21">
      <c r="A39" s="316" t="str">
        <f>Assumptions!A78</f>
        <v>Cost Of Goods Sold Components</v>
      </c>
      <c r="B39" s="317" t="s">
        <v>15</v>
      </c>
      <c r="C39" s="317" t="s">
        <v>41</v>
      </c>
      <c r="D39" s="317" t="s">
        <v>42</v>
      </c>
      <c r="E39" s="317" t="s">
        <v>43</v>
      </c>
      <c r="F39" s="317" t="s">
        <v>44</v>
      </c>
      <c r="G39" s="317" t="s">
        <v>45</v>
      </c>
      <c r="H39" s="317" t="s">
        <v>46</v>
      </c>
      <c r="I39" s="317" t="s">
        <v>47</v>
      </c>
      <c r="J39" s="317" t="s">
        <v>48</v>
      </c>
      <c r="K39" s="317" t="s">
        <v>49</v>
      </c>
      <c r="L39" s="317" t="s">
        <v>50</v>
      </c>
      <c r="M39" s="317" t="s">
        <v>51</v>
      </c>
      <c r="N39" s="317" t="s">
        <v>20</v>
      </c>
      <c r="O39" s="317" t="s">
        <v>52</v>
      </c>
      <c r="P39" s="317" t="s">
        <v>53</v>
      </c>
      <c r="Q39" s="317" t="s">
        <v>54</v>
      </c>
      <c r="R39" s="317" t="s">
        <v>55</v>
      </c>
      <c r="S39" s="317" t="s">
        <v>56</v>
      </c>
      <c r="T39" s="317" t="s">
        <v>57</v>
      </c>
      <c r="U39" s="317" t="s">
        <v>58</v>
      </c>
      <c r="V39" s="317" t="s">
        <v>59</v>
      </c>
      <c r="W39" s="317" t="s">
        <v>60</v>
      </c>
      <c r="X39" s="317" t="s">
        <v>61</v>
      </c>
      <c r="Y39" s="317" t="s">
        <v>62</v>
      </c>
      <c r="Z39" s="317" t="s">
        <v>63</v>
      </c>
      <c r="AA39" s="317" t="s">
        <v>64</v>
      </c>
      <c r="AB39" s="317" t="s">
        <v>65</v>
      </c>
      <c r="AC39" s="317" t="s">
        <v>66</v>
      </c>
      <c r="AD39" s="317" t="s">
        <v>67</v>
      </c>
      <c r="AE39" s="317" t="s">
        <v>68</v>
      </c>
      <c r="AF39" s="317" t="s">
        <v>69</v>
      </c>
      <c r="AG39" s="317" t="s">
        <v>70</v>
      </c>
      <c r="AH39" s="317" t="s">
        <v>71</v>
      </c>
      <c r="AI39" s="317" t="s">
        <v>72</v>
      </c>
      <c r="AJ39" s="317" t="s">
        <v>73</v>
      </c>
      <c r="AK39" s="317" t="s">
        <v>74</v>
      </c>
      <c r="AL39" s="317" t="s">
        <v>75</v>
      </c>
      <c r="AM39" s="317" t="s">
        <v>76</v>
      </c>
      <c r="AN39" s="317" t="s">
        <v>77</v>
      </c>
      <c r="AO39" s="317" t="s">
        <v>78</v>
      </c>
      <c r="AP39" s="317" t="s">
        <v>79</v>
      </c>
      <c r="AQ39" s="317" t="s">
        <v>80</v>
      </c>
      <c r="AR39" s="317" t="s">
        <v>81</v>
      </c>
      <c r="AS39" s="317" t="s">
        <v>82</v>
      </c>
      <c r="AT39" s="317" t="s">
        <v>83</v>
      </c>
      <c r="AU39" s="317" t="s">
        <v>84</v>
      </c>
      <c r="AV39" s="317" t="s">
        <v>85</v>
      </c>
      <c r="AW39" s="317" t="s">
        <v>86</v>
      </c>
      <c r="AX39" s="317" t="s">
        <v>87</v>
      </c>
      <c r="AY39" s="317" t="s">
        <v>88</v>
      </c>
      <c r="AZ39" s="317" t="s">
        <v>89</v>
      </c>
      <c r="BA39" s="317" t="s">
        <v>90</v>
      </c>
      <c r="BB39" s="317" t="s">
        <v>91</v>
      </c>
      <c r="BC39" s="317" t="s">
        <v>92</v>
      </c>
      <c r="BD39" s="317" t="s">
        <v>93</v>
      </c>
      <c r="BE39" s="317" t="s">
        <v>94</v>
      </c>
      <c r="BF39" s="317" t="s">
        <v>95</v>
      </c>
      <c r="BG39" s="317" t="s">
        <v>96</v>
      </c>
      <c r="BH39" s="317" t="s">
        <v>97</v>
      </c>
      <c r="BI39" s="317" t="s">
        <v>98</v>
      </c>
    </row>
    <row r="40" spans="1:63" s="280" customFormat="1" ht="17.399999999999999">
      <c r="A40" s="296" t="str">
        <f>Assumptions!A79</f>
        <v>Raw Materials</v>
      </c>
      <c r="B40" s="295">
        <f>Assumptions!$B79*B$3</f>
        <v>49875</v>
      </c>
      <c r="C40" s="295">
        <f>Assumptions!$B79*C$3</f>
        <v>51371.250000000015</v>
      </c>
      <c r="D40" s="295">
        <f>Assumptions!$B79*D$3</f>
        <v>52912.387499999997</v>
      </c>
      <c r="E40" s="295">
        <f>Assumptions!$B79*E$3</f>
        <v>54499.759125000004</v>
      </c>
      <c r="F40" s="295">
        <f>Assumptions!$B79*F$3</f>
        <v>56134.751898750008</v>
      </c>
      <c r="G40" s="295">
        <f>Assumptions!$B79*G$3</f>
        <v>57818.794455712501</v>
      </c>
      <c r="H40" s="295">
        <f>Assumptions!$B79*H$3</f>
        <v>59553.35828938389</v>
      </c>
      <c r="I40" s="295">
        <f>Assumptions!$B79*I$3</f>
        <v>61339.959038065404</v>
      </c>
      <c r="J40" s="295">
        <f>Assumptions!$B79*J$3</f>
        <v>63180.157809207369</v>
      </c>
      <c r="K40" s="295">
        <f>Assumptions!$B79*K$3</f>
        <v>65075.562543483589</v>
      </c>
      <c r="L40" s="295">
        <f>Assumptions!$B79*L$3</f>
        <v>67027.829419788104</v>
      </c>
      <c r="M40" s="295">
        <f>Assumptions!$B79*M$3</f>
        <v>69038.664302381731</v>
      </c>
      <c r="N40" s="295">
        <f>Assumptions!$B79*N$3</f>
        <v>75942.530732619925</v>
      </c>
      <c r="O40" s="295">
        <f>Assumptions!$B79*O$3</f>
        <v>83536.783805881932</v>
      </c>
      <c r="P40" s="295">
        <f>Assumptions!$B79*P$3</f>
        <v>91890.462186470118</v>
      </c>
      <c r="Q40" s="295">
        <f>Assumptions!$B79*Q$3</f>
        <v>101079.50840511713</v>
      </c>
      <c r="R40" s="295">
        <f>Assumptions!$B79*R$3</f>
        <v>111187.45924562885</v>
      </c>
      <c r="S40" s="295">
        <f>Assumptions!$B79*S$3</f>
        <v>122306.20517019174</v>
      </c>
      <c r="T40" s="295">
        <f>Assumptions!$B79*T$3</f>
        <v>134536.82568721092</v>
      </c>
      <c r="U40" s="295">
        <f>Assumptions!$B79*U$3</f>
        <v>147990.50825593201</v>
      </c>
      <c r="V40" s="295">
        <f>Assumptions!$B79*V$3</f>
        <v>162789.55908152525</v>
      </c>
      <c r="W40" s="295">
        <f>Assumptions!$B79*W$3</f>
        <v>179068.51498967779</v>
      </c>
      <c r="X40" s="295">
        <f>Assumptions!$B79*X$3</f>
        <v>196975.36648864555</v>
      </c>
      <c r="Y40" s="295">
        <f>Assumptions!$B79*Y$3</f>
        <v>216672.90313751012</v>
      </c>
      <c r="Z40" s="295">
        <f>Assumptions!$B79*Z$3</f>
        <v>227506.54829438563</v>
      </c>
      <c r="AA40" s="295">
        <f>Assumptions!$B79*AA$3</f>
        <v>238881.87570910493</v>
      </c>
      <c r="AB40" s="295">
        <f>Assumptions!$B79*AB$3</f>
        <v>250825.96949456018</v>
      </c>
      <c r="AC40" s="295">
        <f>Assumptions!$B79*AC$3</f>
        <v>263367.26796928822</v>
      </c>
      <c r="AD40" s="295">
        <f>Assumptions!$B79*AD$3</f>
        <v>276535.63136775262</v>
      </c>
      <c r="AE40" s="295">
        <f>Assumptions!$B79*AE$3</f>
        <v>290362.41293614026</v>
      </c>
      <c r="AF40" s="295">
        <f>Assumptions!$B79*AF$3</f>
        <v>304880.53358294728</v>
      </c>
      <c r="AG40" s="295">
        <f>Assumptions!$B79*AG$3</f>
        <v>320124.56026209466</v>
      </c>
      <c r="AH40" s="295">
        <f>Assumptions!$B79*AH$3</f>
        <v>336130.78827519942</v>
      </c>
      <c r="AI40" s="295">
        <f>Assumptions!$B79*AI$3</f>
        <v>352937.32768895937</v>
      </c>
      <c r="AJ40" s="295">
        <f>Assumptions!$B79*AJ$3</f>
        <v>370584.19407340745</v>
      </c>
      <c r="AK40" s="295">
        <f>Assumptions!$B79*AK$3</f>
        <v>389113.40377707779</v>
      </c>
      <c r="AL40" s="295">
        <f>Assumptions!$B79*AL$3</f>
        <v>408569.07396593172</v>
      </c>
      <c r="AM40" s="295">
        <f>Assumptions!$B79*AM$3</f>
        <v>428997.52766422828</v>
      </c>
      <c r="AN40" s="295">
        <f>Assumptions!$B79*AN$3</f>
        <v>450447.40404743975</v>
      </c>
      <c r="AO40" s="295">
        <f>Assumptions!$B79*AO$3</f>
        <v>472969.77424981171</v>
      </c>
      <c r="AP40" s="295">
        <f>Assumptions!$B79*AP$3</f>
        <v>496618.26296230237</v>
      </c>
      <c r="AQ40" s="295">
        <f>Assumptions!$B79*AQ$3</f>
        <v>521449.17611041752</v>
      </c>
      <c r="AR40" s="295">
        <f>Assumptions!$B79*AR$3</f>
        <v>547521.63491593837</v>
      </c>
      <c r="AS40" s="295">
        <f>Assumptions!$B79*AS$3</f>
        <v>574897.71666173532</v>
      </c>
      <c r="AT40" s="295">
        <f>Assumptions!$B79*AT$3</f>
        <v>603642.60249482212</v>
      </c>
      <c r="AU40" s="295">
        <f>Assumptions!$B79*AU$3</f>
        <v>633824.73261956323</v>
      </c>
      <c r="AV40" s="295">
        <f>Assumptions!$B79*AV$3</f>
        <v>665515.9692505413</v>
      </c>
      <c r="AW40" s="295">
        <f>Assumptions!$B79*AW$3</f>
        <v>698791.7677130684</v>
      </c>
      <c r="AX40" s="295">
        <f>Assumptions!$B79*AX$3</f>
        <v>733731.35609872185</v>
      </c>
      <c r="AY40" s="295">
        <f>Assumptions!$B79*AY$3</f>
        <v>770417.92390365794</v>
      </c>
      <c r="AZ40" s="295">
        <f>Assumptions!$B79*AZ$3</f>
        <v>808938.82009884086</v>
      </c>
      <c r="BA40" s="295">
        <f>Assumptions!$B79*BA$3</f>
        <v>849385.76110378304</v>
      </c>
      <c r="BB40" s="295">
        <f>Assumptions!$B79*BB$3</f>
        <v>891855.04915897222</v>
      </c>
      <c r="BC40" s="295">
        <f>Assumptions!$B79*BC$3</f>
        <v>936447.80161692086</v>
      </c>
      <c r="BD40" s="295">
        <f>Assumptions!$B79*BD$3</f>
        <v>983270.191697767</v>
      </c>
      <c r="BE40" s="295">
        <f>Assumptions!$B79*BE$3</f>
        <v>1032433.7012826555</v>
      </c>
      <c r="BF40" s="295">
        <f>Assumptions!$B79*BF$3</f>
        <v>1084055.3863467881</v>
      </c>
      <c r="BG40" s="295">
        <f>Assumptions!$B79*BG$3</f>
        <v>1138258.1556641276</v>
      </c>
      <c r="BH40" s="295">
        <f>Assumptions!$B79*BH$3</f>
        <v>1195171.0634473341</v>
      </c>
      <c r="BI40" s="295">
        <f>Assumptions!$B79*BI$3</f>
        <v>1254929.616619701</v>
      </c>
    </row>
    <row r="41" spans="1:63" s="280" customFormat="1" ht="17.399999999999999">
      <c r="A41" s="296" t="str">
        <f>Assumptions!A80</f>
        <v>Electronics Components Cost Pcb Amplifiers Sensors</v>
      </c>
      <c r="B41" s="295">
        <f>Assumptions!$B80*B$3</f>
        <v>18375</v>
      </c>
      <c r="C41" s="295">
        <f>Assumptions!$B80*C$3</f>
        <v>18926.250000000007</v>
      </c>
      <c r="D41" s="295">
        <f>Assumptions!$B80*D$3</f>
        <v>19494.037500000002</v>
      </c>
      <c r="E41" s="295">
        <f>Assumptions!$B80*E$3</f>
        <v>20078.858625000004</v>
      </c>
      <c r="F41" s="295">
        <f>Assumptions!$B80*F$3</f>
        <v>20681.224383750003</v>
      </c>
      <c r="G41" s="295">
        <f>Assumptions!$B80*G$3</f>
        <v>21301.661115262505</v>
      </c>
      <c r="H41" s="295">
        <f>Assumptions!$B80*H$3</f>
        <v>21940.710948720382</v>
      </c>
      <c r="I41" s="295">
        <f>Assumptions!$B80*I$3</f>
        <v>22598.932277181993</v>
      </c>
      <c r="J41" s="295">
        <f>Assumptions!$B80*J$3</f>
        <v>23276.900245497451</v>
      </c>
      <c r="K41" s="295">
        <f>Assumptions!$B80*K$3</f>
        <v>23975.207252862376</v>
      </c>
      <c r="L41" s="295">
        <f>Assumptions!$B80*L$3</f>
        <v>24694.463470448249</v>
      </c>
      <c r="M41" s="295">
        <f>Assumptions!$B80*M$3</f>
        <v>25435.297374561695</v>
      </c>
      <c r="N41" s="295">
        <f>Assumptions!$B80*N$3</f>
        <v>27978.827112017869</v>
      </c>
      <c r="O41" s="295">
        <f>Assumptions!$B80*O$3</f>
        <v>30776.709823219659</v>
      </c>
      <c r="P41" s="295">
        <f>Assumptions!$B80*P$3</f>
        <v>33854.380805541623</v>
      </c>
      <c r="Q41" s="295">
        <f>Assumptions!$B80*Q$3</f>
        <v>37239.818886095789</v>
      </c>
      <c r="R41" s="295">
        <f>Assumptions!$B80*R$3</f>
        <v>40963.800774705371</v>
      </c>
      <c r="S41" s="295">
        <f>Assumptions!$B80*S$3</f>
        <v>45060.180852175909</v>
      </c>
      <c r="T41" s="295">
        <f>Assumptions!$B80*T$3</f>
        <v>49566.198937393499</v>
      </c>
      <c r="U41" s="295">
        <f>Assumptions!$B80*U$3</f>
        <v>54522.818831132856</v>
      </c>
      <c r="V41" s="295">
        <f>Assumptions!$B80*V$3</f>
        <v>59975.100714246146</v>
      </c>
      <c r="W41" s="295">
        <f>Assumptions!$B80*W$3</f>
        <v>65972.610785670768</v>
      </c>
      <c r="X41" s="295">
        <f>Assumptions!$B80*X$3</f>
        <v>72569.871864237837</v>
      </c>
      <c r="Y41" s="295">
        <f>Assumptions!$B80*Y$3</f>
        <v>79826.859050661631</v>
      </c>
      <c r="Z41" s="295">
        <f>Assumptions!$B80*Z$3</f>
        <v>83818.202003194703</v>
      </c>
      <c r="AA41" s="295">
        <f>Assumptions!$B80*AA$3</f>
        <v>88009.112103354462</v>
      </c>
      <c r="AB41" s="295">
        <f>Assumptions!$B80*AB$3</f>
        <v>92409.567708522183</v>
      </c>
      <c r="AC41" s="295">
        <f>Assumptions!$B80*AC$3</f>
        <v>97030.046093948287</v>
      </c>
      <c r="AD41" s="295">
        <f>Assumptions!$B80*AD$3</f>
        <v>101881.5483986457</v>
      </c>
      <c r="AE41" s="295">
        <f>Assumptions!$B80*AE$3</f>
        <v>106975.625818578</v>
      </c>
      <c r="AF41" s="295">
        <f>Assumptions!$B80*AF$3</f>
        <v>112324.40710950691</v>
      </c>
      <c r="AG41" s="295">
        <f>Assumptions!$B80*AG$3</f>
        <v>117940.62746498224</v>
      </c>
      <c r="AH41" s="295">
        <f>Assumptions!$B80*AH$3</f>
        <v>123837.65883823136</v>
      </c>
      <c r="AI41" s="295">
        <f>Assumptions!$B80*AI$3</f>
        <v>130029.54178014294</v>
      </c>
      <c r="AJ41" s="295">
        <f>Assumptions!$B80*AJ$3</f>
        <v>136531.01886915011</v>
      </c>
      <c r="AK41" s="295">
        <f>Assumptions!$B80*AK$3</f>
        <v>143357.56981260763</v>
      </c>
      <c r="AL41" s="295">
        <f>Assumptions!$B80*AL$3</f>
        <v>150525.44830323799</v>
      </c>
      <c r="AM41" s="295">
        <f>Assumptions!$B80*AM$3</f>
        <v>158051.72071839991</v>
      </c>
      <c r="AN41" s="295">
        <f>Assumptions!$B80*AN$3</f>
        <v>165954.3067543199</v>
      </c>
      <c r="AO41" s="295">
        <f>Assumptions!$B80*AO$3</f>
        <v>174252.02209203591</v>
      </c>
      <c r="AP41" s="295">
        <f>Assumptions!$B80*AP$3</f>
        <v>182964.62319663772</v>
      </c>
      <c r="AQ41" s="295">
        <f>Assumptions!$B80*AQ$3</f>
        <v>192112.85435646962</v>
      </c>
      <c r="AR41" s="295">
        <f>Assumptions!$B80*AR$3</f>
        <v>201718.49707429309</v>
      </c>
      <c r="AS41" s="295">
        <f>Assumptions!$B80*AS$3</f>
        <v>211804.42192800777</v>
      </c>
      <c r="AT41" s="295">
        <f>Assumptions!$B80*AT$3</f>
        <v>222394.64302440814</v>
      </c>
      <c r="AU41" s="295">
        <f>Assumptions!$B80*AU$3</f>
        <v>233514.37517562855</v>
      </c>
      <c r="AV41" s="295">
        <f>Assumptions!$B80*AV$3</f>
        <v>245190.09393440999</v>
      </c>
      <c r="AW41" s="295">
        <f>Assumptions!$B80*AW$3</f>
        <v>257449.5986311305</v>
      </c>
      <c r="AX41" s="295">
        <f>Assumptions!$B80*AX$3</f>
        <v>270322.07856268703</v>
      </c>
      <c r="AY41" s="295">
        <f>Assumptions!$B80*AY$3</f>
        <v>283838.18249082135</v>
      </c>
      <c r="AZ41" s="295">
        <f>Assumptions!$B80*AZ$3</f>
        <v>298030.09161536244</v>
      </c>
      <c r="BA41" s="295">
        <f>Assumptions!$B80*BA$3</f>
        <v>312931.59619613062</v>
      </c>
      <c r="BB41" s="295">
        <f>Assumptions!$B80*BB$3</f>
        <v>328578.17600593716</v>
      </c>
      <c r="BC41" s="295">
        <f>Assumptions!$B80*BC$3</f>
        <v>345007.08480623405</v>
      </c>
      <c r="BD41" s="295">
        <f>Assumptions!$B80*BD$3</f>
        <v>362257.43904654577</v>
      </c>
      <c r="BE41" s="295">
        <f>Assumptions!$B80*BE$3</f>
        <v>380370.31099887309</v>
      </c>
      <c r="BF41" s="295">
        <f>Assumptions!$B80*BF$3</f>
        <v>399388.82654881675</v>
      </c>
      <c r="BG41" s="295">
        <f>Assumptions!$B80*BG$3</f>
        <v>419358.2678762576</v>
      </c>
      <c r="BH41" s="295">
        <f>Assumptions!$B80*BH$3</f>
        <v>440326.18127007049</v>
      </c>
      <c r="BI41" s="295">
        <f>Assumptions!$B80*BI$3</f>
        <v>462342.49033357407</v>
      </c>
    </row>
    <row r="42" spans="1:63" s="280" customFormat="1" ht="17.399999999999999">
      <c r="A42" s="296" t="str">
        <f>Assumptions!A81</f>
        <v>Production Overheads</v>
      </c>
      <c r="B42" s="295">
        <f>Assumptions!$B81*B$3</f>
        <v>7875</v>
      </c>
      <c r="C42" s="295">
        <f>Assumptions!$B81*C$3</f>
        <v>8111.2500000000018</v>
      </c>
      <c r="D42" s="295">
        <f>Assumptions!$B81*D$3</f>
        <v>8354.5874999999996</v>
      </c>
      <c r="E42" s="295">
        <f>Assumptions!$B81*E$3</f>
        <v>8605.2251250000008</v>
      </c>
      <c r="F42" s="295">
        <f>Assumptions!$B81*F$3</f>
        <v>8863.3818787500004</v>
      </c>
      <c r="G42" s="295">
        <f>Assumptions!$B81*G$3</f>
        <v>9129.2833351124991</v>
      </c>
      <c r="H42" s="295">
        <f>Assumptions!$B81*H$3</f>
        <v>9403.1618351658763</v>
      </c>
      <c r="I42" s="295">
        <f>Assumptions!$B81*I$3</f>
        <v>9685.2566902208528</v>
      </c>
      <c r="J42" s="295">
        <f>Assumptions!$B81*J$3</f>
        <v>9975.8143909274786</v>
      </c>
      <c r="K42" s="295">
        <f>Assumptions!$B81*K$3</f>
        <v>10275.088822655303</v>
      </c>
      <c r="L42" s="295">
        <f>Assumptions!$B81*L$3</f>
        <v>10583.341487334963</v>
      </c>
      <c r="M42" s="295">
        <f>Assumptions!$B81*M$3</f>
        <v>10900.84173195501</v>
      </c>
      <c r="N42" s="295">
        <f>Assumptions!$B81*N$3</f>
        <v>11990.925905150514</v>
      </c>
      <c r="O42" s="295">
        <f>Assumptions!$B81*O$3</f>
        <v>13190.018495665567</v>
      </c>
      <c r="P42" s="295">
        <f>Assumptions!$B81*P$3</f>
        <v>14509.020345232124</v>
      </c>
      <c r="Q42" s="295">
        <f>Assumptions!$B81*Q$3</f>
        <v>15959.922379755335</v>
      </c>
      <c r="R42" s="295">
        <f>Assumptions!$B81*R$3</f>
        <v>17555.914617730872</v>
      </c>
      <c r="S42" s="295">
        <f>Assumptions!$B81*S$3</f>
        <v>19311.506079503957</v>
      </c>
      <c r="T42" s="295">
        <f>Assumptions!$B81*T$3</f>
        <v>21242.656687454353</v>
      </c>
      <c r="U42" s="295">
        <f>Assumptions!$B81*U$3</f>
        <v>23366.92235619979</v>
      </c>
      <c r="V42" s="295">
        <f>Assumptions!$B81*V$3</f>
        <v>25703.614591819776</v>
      </c>
      <c r="W42" s="295">
        <f>Assumptions!$B81*W$3</f>
        <v>28273.976051001755</v>
      </c>
      <c r="X42" s="295">
        <f>Assumptions!$B81*X$3</f>
        <v>31101.373656101929</v>
      </c>
      <c r="Y42" s="295">
        <f>Assumptions!$B81*Y$3</f>
        <v>34211.511021712126</v>
      </c>
      <c r="Z42" s="295">
        <f>Assumptions!$B81*Z$3</f>
        <v>35922.086572797729</v>
      </c>
      <c r="AA42" s="295">
        <f>Assumptions!$B81*AA$3</f>
        <v>37718.190901437622</v>
      </c>
      <c r="AB42" s="295">
        <f>Assumptions!$B81*AB$3</f>
        <v>39604.100446509503</v>
      </c>
      <c r="AC42" s="295">
        <f>Assumptions!$B81*AC$3</f>
        <v>41584.30546883498</v>
      </c>
      <c r="AD42" s="295">
        <f>Assumptions!$B81*AD$3</f>
        <v>43663.520742276727</v>
      </c>
      <c r="AE42" s="295">
        <f>Assumptions!$B81*AE$3</f>
        <v>45846.696779390564</v>
      </c>
      <c r="AF42" s="295">
        <f>Assumptions!$B81*AF$3</f>
        <v>48139.031618360095</v>
      </c>
      <c r="AG42" s="295">
        <f>Assumptions!$B81*AG$3</f>
        <v>50545.983199278104</v>
      </c>
      <c r="AH42" s="295">
        <f>Assumptions!$B81*AH$3</f>
        <v>53073.28235924201</v>
      </c>
      <c r="AI42" s="295">
        <f>Assumptions!$B81*AI$3</f>
        <v>55726.94647720411</v>
      </c>
      <c r="AJ42" s="295">
        <f>Assumptions!$B81*AJ$3</f>
        <v>58513.293801064327</v>
      </c>
      <c r="AK42" s="295">
        <f>Assumptions!$B81*AK$3</f>
        <v>61438.958491117548</v>
      </c>
      <c r="AL42" s="295">
        <f>Assumptions!$B81*AL$3</f>
        <v>64510.906415673424</v>
      </c>
      <c r="AM42" s="295">
        <f>Assumptions!$B81*AM$3</f>
        <v>67736.451736457093</v>
      </c>
      <c r="AN42" s="295">
        <f>Assumptions!$B81*AN$3</f>
        <v>71123.274323279955</v>
      </c>
      <c r="AO42" s="295">
        <f>Assumptions!$B81*AO$3</f>
        <v>74679.43803944395</v>
      </c>
      <c r="AP42" s="295">
        <f>Assumptions!$B81*AP$3</f>
        <v>78413.409941416161</v>
      </c>
      <c r="AQ42" s="295">
        <f>Assumptions!$B81*AQ$3</f>
        <v>82334.08043848697</v>
      </c>
      <c r="AR42" s="295">
        <f>Assumptions!$B81*AR$3</f>
        <v>86450.784460411305</v>
      </c>
      <c r="AS42" s="295">
        <f>Assumptions!$B81*AS$3</f>
        <v>90773.323683431896</v>
      </c>
      <c r="AT42" s="295">
        <f>Assumptions!$B81*AT$3</f>
        <v>95311.989867603479</v>
      </c>
      <c r="AU42" s="295">
        <f>Assumptions!$B81*AU$3</f>
        <v>100077.58936098366</v>
      </c>
      <c r="AV42" s="295">
        <f>Assumptions!$B81*AV$3</f>
        <v>105081.46882903283</v>
      </c>
      <c r="AW42" s="295">
        <f>Assumptions!$B81*AW$3</f>
        <v>110335.54227048448</v>
      </c>
      <c r="AX42" s="295">
        <f>Assumptions!$B81*AX$3</f>
        <v>115852.3193840087</v>
      </c>
      <c r="AY42" s="295">
        <f>Assumptions!$B81*AY$3</f>
        <v>121644.93535320915</v>
      </c>
      <c r="AZ42" s="295">
        <f>Assumptions!$B81*AZ$3</f>
        <v>127727.18212086961</v>
      </c>
      <c r="BA42" s="295">
        <f>Assumptions!$B81*BA$3</f>
        <v>134113.5412269131</v>
      </c>
      <c r="BB42" s="295">
        <f>Assumptions!$B81*BB$3</f>
        <v>140819.21828825877</v>
      </c>
      <c r="BC42" s="295">
        <f>Assumptions!$B81*BC$3</f>
        <v>147860.17920267172</v>
      </c>
      <c r="BD42" s="295">
        <f>Assumptions!$B81*BD$3</f>
        <v>155253.18816280531</v>
      </c>
      <c r="BE42" s="295">
        <f>Assumptions!$B81*BE$3</f>
        <v>163015.8475709456</v>
      </c>
      <c r="BF42" s="295">
        <f>Assumptions!$B81*BF$3</f>
        <v>171166.63994949285</v>
      </c>
      <c r="BG42" s="295">
        <f>Assumptions!$B81*BG$3</f>
        <v>179724.9719469675</v>
      </c>
      <c r="BH42" s="295">
        <f>Assumptions!$B81*BH$3</f>
        <v>188711.2205443159</v>
      </c>
      <c r="BI42" s="295">
        <f>Assumptions!$B81*BI$3</f>
        <v>198146.78157153173</v>
      </c>
    </row>
    <row r="43" spans="1:63" s="280" customFormat="1" ht="17.399999999999999">
      <c r="A43" s="296" t="str">
        <f>Assumptions!A82</f>
        <v>Packaging &amp; Quality Control</v>
      </c>
      <c r="B43" s="295">
        <f>Assumptions!$B82*B$3</f>
        <v>5250</v>
      </c>
      <c r="C43" s="295">
        <f>Assumptions!$B82*C$3</f>
        <v>5407.5000000000009</v>
      </c>
      <c r="D43" s="295">
        <f>Assumptions!$B82*D$3</f>
        <v>5569.7250000000004</v>
      </c>
      <c r="E43" s="295">
        <f>Assumptions!$B82*E$3</f>
        <v>5736.8167500000009</v>
      </c>
      <c r="F43" s="295">
        <f>Assumptions!$B82*F$3</f>
        <v>5908.9212525000003</v>
      </c>
      <c r="G43" s="295">
        <f>Assumptions!$B82*G$3</f>
        <v>6086.188890075</v>
      </c>
      <c r="H43" s="295">
        <f>Assumptions!$B82*H$3</f>
        <v>6268.7745567772517</v>
      </c>
      <c r="I43" s="295">
        <f>Assumptions!$B82*I$3</f>
        <v>6456.8377934805685</v>
      </c>
      <c r="J43" s="295">
        <f>Assumptions!$B82*J$3</f>
        <v>6650.542927284986</v>
      </c>
      <c r="K43" s="295">
        <f>Assumptions!$B82*K$3</f>
        <v>6850.0592151035362</v>
      </c>
      <c r="L43" s="295">
        <f>Assumptions!$B82*L$3</f>
        <v>7055.560991556642</v>
      </c>
      <c r="M43" s="295">
        <f>Assumptions!$B82*M$3</f>
        <v>7267.2278213033405</v>
      </c>
      <c r="N43" s="295">
        <f>Assumptions!$B82*N$3</f>
        <v>7993.9506034336764</v>
      </c>
      <c r="O43" s="295">
        <f>Assumptions!$B82*O$3</f>
        <v>8793.345663777045</v>
      </c>
      <c r="P43" s="295">
        <f>Assumptions!$B82*P$3</f>
        <v>9672.6802301547486</v>
      </c>
      <c r="Q43" s="295">
        <f>Assumptions!$B82*Q$3</f>
        <v>10639.948253170223</v>
      </c>
      <c r="R43" s="295">
        <f>Assumptions!$B82*R$3</f>
        <v>11703.943078487247</v>
      </c>
      <c r="S43" s="295">
        <f>Assumptions!$B82*S$3</f>
        <v>12874.337386335974</v>
      </c>
      <c r="T43" s="295">
        <f>Assumptions!$B82*T$3</f>
        <v>14161.771124969569</v>
      </c>
      <c r="U43" s="295">
        <f>Assumptions!$B82*U$3</f>
        <v>15577.948237466528</v>
      </c>
      <c r="V43" s="295">
        <f>Assumptions!$B82*V$3</f>
        <v>17135.743061213183</v>
      </c>
      <c r="W43" s="295">
        <f>Assumptions!$B82*W$3</f>
        <v>18849.317367334505</v>
      </c>
      <c r="X43" s="295">
        <f>Assumptions!$B82*X$3</f>
        <v>20734.249104067952</v>
      </c>
      <c r="Y43" s="295">
        <f>Assumptions!$B82*Y$3</f>
        <v>22807.674014474749</v>
      </c>
      <c r="Z43" s="295">
        <f>Assumptions!$B82*Z$3</f>
        <v>23948.057715198487</v>
      </c>
      <c r="AA43" s="295">
        <f>Assumptions!$B82*AA$3</f>
        <v>25145.460600958417</v>
      </c>
      <c r="AB43" s="295">
        <f>Assumptions!$B82*AB$3</f>
        <v>26402.733631006337</v>
      </c>
      <c r="AC43" s="295">
        <f>Assumptions!$B82*AC$3</f>
        <v>27722.870312556654</v>
      </c>
      <c r="AD43" s="295">
        <f>Assumptions!$B82*AD$3</f>
        <v>29109.013828184485</v>
      </c>
      <c r="AE43" s="295">
        <f>Assumptions!$B82*AE$3</f>
        <v>30564.464519593712</v>
      </c>
      <c r="AF43" s="295">
        <f>Assumptions!$B82*AF$3</f>
        <v>32092.687745573399</v>
      </c>
      <c r="AG43" s="295">
        <f>Assumptions!$B82*AG$3</f>
        <v>33697.322132852067</v>
      </c>
      <c r="AH43" s="295">
        <f>Assumptions!$B82*AH$3</f>
        <v>35382.188239494673</v>
      </c>
      <c r="AI43" s="295">
        <f>Assumptions!$B82*AI$3</f>
        <v>37151.297651469409</v>
      </c>
      <c r="AJ43" s="295">
        <f>Assumptions!$B82*AJ$3</f>
        <v>39008.862534042884</v>
      </c>
      <c r="AK43" s="295">
        <f>Assumptions!$B82*AK$3</f>
        <v>40959.305660745034</v>
      </c>
      <c r="AL43" s="295">
        <f>Assumptions!$B82*AL$3</f>
        <v>43007.270943782285</v>
      </c>
      <c r="AM43" s="295">
        <f>Assumptions!$B82*AM$3</f>
        <v>45157.634490971395</v>
      </c>
      <c r="AN43" s="295">
        <f>Assumptions!$B82*AN$3</f>
        <v>47415.516215519972</v>
      </c>
      <c r="AO43" s="295">
        <f>Assumptions!$B82*AO$3</f>
        <v>49786.292026295967</v>
      </c>
      <c r="AP43" s="295">
        <f>Assumptions!$B82*AP$3</f>
        <v>52275.606627610774</v>
      </c>
      <c r="AQ43" s="295">
        <f>Assumptions!$B82*AQ$3</f>
        <v>54889.386958991316</v>
      </c>
      <c r="AR43" s="295">
        <f>Assumptions!$B82*AR$3</f>
        <v>57633.856306940877</v>
      </c>
      <c r="AS43" s="295">
        <f>Assumptions!$B82*AS$3</f>
        <v>60515.549122287928</v>
      </c>
      <c r="AT43" s="295">
        <f>Assumptions!$B82*AT$3</f>
        <v>63541.326578402324</v>
      </c>
      <c r="AU43" s="295">
        <f>Assumptions!$B82*AU$3</f>
        <v>66718.392907322443</v>
      </c>
      <c r="AV43" s="295">
        <f>Assumptions!$B82*AV$3</f>
        <v>70054.312552688556</v>
      </c>
      <c r="AW43" s="295">
        <f>Assumptions!$B82*AW$3</f>
        <v>73557.028180322988</v>
      </c>
      <c r="AX43" s="295">
        <f>Assumptions!$B82*AX$3</f>
        <v>77234.879589339136</v>
      </c>
      <c r="AY43" s="295">
        <f>Assumptions!$B82*AY$3</f>
        <v>81096.623568806099</v>
      </c>
      <c r="AZ43" s="295">
        <f>Assumptions!$B82*AZ$3</f>
        <v>85151.454747246418</v>
      </c>
      <c r="BA43" s="295">
        <f>Assumptions!$B82*BA$3</f>
        <v>89409.027484608741</v>
      </c>
      <c r="BB43" s="295">
        <f>Assumptions!$B82*BB$3</f>
        <v>93879.478858839182</v>
      </c>
      <c r="BC43" s="295">
        <f>Assumptions!$B82*BC$3</f>
        <v>98573.452801781154</v>
      </c>
      <c r="BD43" s="295">
        <f>Assumptions!$B82*BD$3</f>
        <v>103502.1254418702</v>
      </c>
      <c r="BE43" s="295">
        <f>Assumptions!$B82*BE$3</f>
        <v>108677.23171396373</v>
      </c>
      <c r="BF43" s="295">
        <f>Assumptions!$B82*BF$3</f>
        <v>114111.09329966191</v>
      </c>
      <c r="BG43" s="295">
        <f>Assumptions!$B82*BG$3</f>
        <v>119816.64796464502</v>
      </c>
      <c r="BH43" s="295">
        <f>Assumptions!$B82*BH$3</f>
        <v>125807.48036287726</v>
      </c>
      <c r="BI43" s="295">
        <f>Assumptions!$B82*BI$3</f>
        <v>132097.85438102114</v>
      </c>
    </row>
    <row r="44" spans="1:63" s="280" customFormat="1" ht="17.399999999999999">
      <c r="A44" s="304" t="str">
        <f>Assumptions!A83</f>
        <v>Logistics &amp; Shipping</v>
      </c>
      <c r="B44" s="295">
        <f>Assumptions!$B83*B$3</f>
        <v>5250</v>
      </c>
      <c r="C44" s="295">
        <f>Assumptions!$B83*C$3</f>
        <v>5407.5000000000009</v>
      </c>
      <c r="D44" s="295">
        <f>Assumptions!$B83*D$3</f>
        <v>5569.7250000000004</v>
      </c>
      <c r="E44" s="295">
        <f>Assumptions!$B83*E$3</f>
        <v>5736.8167500000009</v>
      </c>
      <c r="F44" s="295">
        <f>Assumptions!$B83*F$3</f>
        <v>5908.9212525000003</v>
      </c>
      <c r="G44" s="295">
        <f>Assumptions!$B83*G$3</f>
        <v>6086.188890075</v>
      </c>
      <c r="H44" s="295">
        <f>Assumptions!$B83*H$3</f>
        <v>6268.7745567772517</v>
      </c>
      <c r="I44" s="295">
        <f>Assumptions!$B83*I$3</f>
        <v>6456.8377934805685</v>
      </c>
      <c r="J44" s="295">
        <f>Assumptions!$B83*J$3</f>
        <v>6650.542927284986</v>
      </c>
      <c r="K44" s="295">
        <f>Assumptions!$B83*K$3</f>
        <v>6850.0592151035362</v>
      </c>
      <c r="L44" s="295">
        <f>Assumptions!$B83*L$3</f>
        <v>7055.560991556642</v>
      </c>
      <c r="M44" s="295">
        <f>Assumptions!$B83*M$3</f>
        <v>7267.2278213033405</v>
      </c>
      <c r="N44" s="295">
        <f>Assumptions!$B83*N$3</f>
        <v>7993.9506034336764</v>
      </c>
      <c r="O44" s="295">
        <f>Assumptions!$B83*O$3</f>
        <v>8793.345663777045</v>
      </c>
      <c r="P44" s="295">
        <f>Assumptions!$B83*P$3</f>
        <v>9672.6802301547486</v>
      </c>
      <c r="Q44" s="295">
        <f>Assumptions!$B83*Q$3</f>
        <v>10639.948253170223</v>
      </c>
      <c r="R44" s="295">
        <f>Assumptions!$B83*R$3</f>
        <v>11703.943078487247</v>
      </c>
      <c r="S44" s="295">
        <f>Assumptions!$B83*S$3</f>
        <v>12874.337386335974</v>
      </c>
      <c r="T44" s="295">
        <f>Assumptions!$B83*T$3</f>
        <v>14161.771124969569</v>
      </c>
      <c r="U44" s="295">
        <f>Assumptions!$B83*U$3</f>
        <v>15577.948237466528</v>
      </c>
      <c r="V44" s="295">
        <f>Assumptions!$B83*V$3</f>
        <v>17135.743061213183</v>
      </c>
      <c r="W44" s="295">
        <f>Assumptions!$B83*W$3</f>
        <v>18849.317367334505</v>
      </c>
      <c r="X44" s="295">
        <f>Assumptions!$B83*X$3</f>
        <v>20734.249104067952</v>
      </c>
      <c r="Y44" s="295">
        <f>Assumptions!$B83*Y$3</f>
        <v>22807.674014474749</v>
      </c>
      <c r="Z44" s="295">
        <f>Assumptions!$B83*Z$3</f>
        <v>23948.057715198487</v>
      </c>
      <c r="AA44" s="295">
        <f>Assumptions!$B83*AA$3</f>
        <v>25145.460600958417</v>
      </c>
      <c r="AB44" s="295">
        <f>Assumptions!$B83*AB$3</f>
        <v>26402.733631006337</v>
      </c>
      <c r="AC44" s="295">
        <f>Assumptions!$B83*AC$3</f>
        <v>27722.870312556654</v>
      </c>
      <c r="AD44" s="295">
        <f>Assumptions!$B83*AD$3</f>
        <v>29109.013828184485</v>
      </c>
      <c r="AE44" s="295">
        <f>Assumptions!$B83*AE$3</f>
        <v>30564.464519593712</v>
      </c>
      <c r="AF44" s="295">
        <f>Assumptions!$B83*AF$3</f>
        <v>32092.687745573399</v>
      </c>
      <c r="AG44" s="295">
        <f>Assumptions!$B83*AG$3</f>
        <v>33697.322132852067</v>
      </c>
      <c r="AH44" s="295">
        <f>Assumptions!$B83*AH$3</f>
        <v>35382.188239494673</v>
      </c>
      <c r="AI44" s="295">
        <f>Assumptions!$B83*AI$3</f>
        <v>37151.297651469409</v>
      </c>
      <c r="AJ44" s="295">
        <f>Assumptions!$B83*AJ$3</f>
        <v>39008.862534042884</v>
      </c>
      <c r="AK44" s="295">
        <f>Assumptions!$B83*AK$3</f>
        <v>40959.305660745034</v>
      </c>
      <c r="AL44" s="295">
        <f>Assumptions!$B83*AL$3</f>
        <v>43007.270943782285</v>
      </c>
      <c r="AM44" s="295">
        <f>Assumptions!$B83*AM$3</f>
        <v>45157.634490971395</v>
      </c>
      <c r="AN44" s="295">
        <f>Assumptions!$B83*AN$3</f>
        <v>47415.516215519972</v>
      </c>
      <c r="AO44" s="295">
        <f>Assumptions!$B83*AO$3</f>
        <v>49786.292026295967</v>
      </c>
      <c r="AP44" s="295">
        <f>Assumptions!$B83*AP$3</f>
        <v>52275.606627610774</v>
      </c>
      <c r="AQ44" s="295">
        <f>Assumptions!$B83*AQ$3</f>
        <v>54889.386958991316</v>
      </c>
      <c r="AR44" s="295">
        <f>Assumptions!$B83*AR$3</f>
        <v>57633.856306940877</v>
      </c>
      <c r="AS44" s="295">
        <f>Assumptions!$B83*AS$3</f>
        <v>60515.549122287928</v>
      </c>
      <c r="AT44" s="295">
        <f>Assumptions!$B83*AT$3</f>
        <v>63541.326578402324</v>
      </c>
      <c r="AU44" s="295">
        <f>Assumptions!$B83*AU$3</f>
        <v>66718.392907322443</v>
      </c>
      <c r="AV44" s="295">
        <f>Assumptions!$B83*AV$3</f>
        <v>70054.312552688556</v>
      </c>
      <c r="AW44" s="295">
        <f>Assumptions!$B83*AW$3</f>
        <v>73557.028180322988</v>
      </c>
      <c r="AX44" s="295">
        <f>Assumptions!$B83*AX$3</f>
        <v>77234.879589339136</v>
      </c>
      <c r="AY44" s="295">
        <f>Assumptions!$B83*AY$3</f>
        <v>81096.623568806099</v>
      </c>
      <c r="AZ44" s="295">
        <f>Assumptions!$B83*AZ$3</f>
        <v>85151.454747246418</v>
      </c>
      <c r="BA44" s="295">
        <f>Assumptions!$B83*BA$3</f>
        <v>89409.027484608741</v>
      </c>
      <c r="BB44" s="295">
        <f>Assumptions!$B83*BB$3</f>
        <v>93879.478858839182</v>
      </c>
      <c r="BC44" s="295">
        <f>Assumptions!$B83*BC$3</f>
        <v>98573.452801781154</v>
      </c>
      <c r="BD44" s="295">
        <f>Assumptions!$B83*BD$3</f>
        <v>103502.1254418702</v>
      </c>
      <c r="BE44" s="295">
        <f>Assumptions!$B83*BE$3</f>
        <v>108677.23171396373</v>
      </c>
      <c r="BF44" s="295">
        <f>Assumptions!$B83*BF$3</f>
        <v>114111.09329966191</v>
      </c>
      <c r="BG44" s="295">
        <f>Assumptions!$B83*BG$3</f>
        <v>119816.64796464502</v>
      </c>
      <c r="BH44" s="295">
        <f>Assumptions!$B83*BH$3</f>
        <v>125807.48036287726</v>
      </c>
      <c r="BI44" s="295">
        <f>Assumptions!$B83*BI$3</f>
        <v>132097.85438102114</v>
      </c>
    </row>
    <row r="45" spans="1:63" s="280" customFormat="1" ht="17.399999999999999">
      <c r="A45" s="304" t="str">
        <f>Assumptions!A86</f>
        <v>Cost For Upgraded Units</v>
      </c>
      <c r="B45" s="305">
        <f>Assumptions!$B86*B$4</f>
        <v>0</v>
      </c>
      <c r="C45" s="305">
        <f>Assumptions!$B86*C$4</f>
        <v>0</v>
      </c>
      <c r="D45" s="305">
        <f>Assumptions!$B86*D$4</f>
        <v>0</v>
      </c>
      <c r="E45" s="305">
        <f>Assumptions!$B86*E$4</f>
        <v>0</v>
      </c>
      <c r="F45" s="305">
        <f>Assumptions!$B86*F$4</f>
        <v>0</v>
      </c>
      <c r="G45" s="305">
        <f>Assumptions!$B86*G$4</f>
        <v>0</v>
      </c>
      <c r="H45" s="305">
        <f>Assumptions!$B86*H$4</f>
        <v>0</v>
      </c>
      <c r="I45" s="305">
        <f>Assumptions!$B86*I$4</f>
        <v>0</v>
      </c>
      <c r="J45" s="305">
        <f>Assumptions!$B86*J$4</f>
        <v>0</v>
      </c>
      <c r="K45" s="305">
        <f>Assumptions!$B86*K$4</f>
        <v>0</v>
      </c>
      <c r="L45" s="305">
        <f>Assumptions!$B86*L$4</f>
        <v>0</v>
      </c>
      <c r="M45" s="305">
        <f>Assumptions!$B86*M$4</f>
        <v>0</v>
      </c>
      <c r="N45" s="305">
        <f>Assumptions!$B86*N$4</f>
        <v>66250</v>
      </c>
      <c r="O45" s="305">
        <f>Assumptions!$B86*O$4</f>
        <v>72875</v>
      </c>
      <c r="P45" s="305">
        <f>Assumptions!$B86*P$4</f>
        <v>80162.500000000015</v>
      </c>
      <c r="Q45" s="305">
        <f>Assumptions!$B86*Q$4</f>
        <v>88178.750000000015</v>
      </c>
      <c r="R45" s="305">
        <f>Assumptions!$B86*R$4</f>
        <v>96996.625000000015</v>
      </c>
      <c r="S45" s="305">
        <f>Assumptions!$B86*S$4</f>
        <v>106696.28750000005</v>
      </c>
      <c r="T45" s="305">
        <f>Assumptions!$B86*T$4</f>
        <v>117365.91625000005</v>
      </c>
      <c r="U45" s="305">
        <f>Assumptions!$B86*U$4</f>
        <v>129102.50787500008</v>
      </c>
      <c r="V45" s="305">
        <f>Assumptions!$B86*V$4</f>
        <v>142012.7586625001</v>
      </c>
      <c r="W45" s="305">
        <f>Assumptions!$B86*W$4</f>
        <v>156214.03452875011</v>
      </c>
      <c r="X45" s="305">
        <f>Assumptions!$B86*X$4</f>
        <v>171835.43798162512</v>
      </c>
      <c r="Y45" s="305">
        <f>Assumptions!$B86*Y$4</f>
        <v>189018.98177978763</v>
      </c>
      <c r="Z45" s="305">
        <f>Assumptions!$B86*Z$4</f>
        <v>198469.93086877701</v>
      </c>
      <c r="AA45" s="305">
        <f>Assumptions!$B86*AA$4</f>
        <v>208393.42741221588</v>
      </c>
      <c r="AB45" s="305">
        <f>Assumptions!$B86*AB$4</f>
        <v>218813.09878282668</v>
      </c>
      <c r="AC45" s="305">
        <f>Assumptions!$B86*AC$4</f>
        <v>229753.75372196801</v>
      </c>
      <c r="AD45" s="305">
        <f>Assumptions!$B86*AD$4</f>
        <v>241241.44140806646</v>
      </c>
      <c r="AE45" s="305">
        <f>Assumptions!$B86*AE$4</f>
        <v>253303.5134784698</v>
      </c>
      <c r="AF45" s="305">
        <f>Assumptions!$B86*AF$4</f>
        <v>265968.68915239332</v>
      </c>
      <c r="AG45" s="305">
        <f>Assumptions!$B86*AG$4</f>
        <v>279267.12361001299</v>
      </c>
      <c r="AH45" s="305">
        <f>Assumptions!$B86*AH$4</f>
        <v>293230.47979051364</v>
      </c>
      <c r="AI45" s="305">
        <f>Assumptions!$B86*AI$4</f>
        <v>307892.00378003938</v>
      </c>
      <c r="AJ45" s="305">
        <f>Assumptions!$B86*AJ$4</f>
        <v>323286.60396904126</v>
      </c>
      <c r="AK45" s="305">
        <f>Assumptions!$B86*AK$4</f>
        <v>339450.93416749337</v>
      </c>
      <c r="AL45" s="305">
        <f>Assumptions!$B86*AL$4</f>
        <v>356423.480875868</v>
      </c>
      <c r="AM45" s="305">
        <f>Assumptions!$B86*AM$4</f>
        <v>374244.65491966147</v>
      </c>
      <c r="AN45" s="305">
        <f>Assumptions!$B86*AN$4</f>
        <v>392956.88766564458</v>
      </c>
      <c r="AO45" s="305">
        <f>Assumptions!$B86*AO$4</f>
        <v>412604.73204892676</v>
      </c>
      <c r="AP45" s="305">
        <f>Assumptions!$B86*AP$4</f>
        <v>433234.96865137317</v>
      </c>
      <c r="AQ45" s="305">
        <f>Assumptions!$B86*AQ$4</f>
        <v>454896.71708394185</v>
      </c>
      <c r="AR45" s="305">
        <f>Assumptions!$B86*AR$4</f>
        <v>477641.55293813901</v>
      </c>
      <c r="AS45" s="305">
        <f>Assumptions!$B86*AS$4</f>
        <v>501523.63058504596</v>
      </c>
      <c r="AT45" s="305">
        <f>Assumptions!$B86*AT$4</f>
        <v>526599.81211429823</v>
      </c>
      <c r="AU45" s="305">
        <f>Assumptions!$B86*AU$4</f>
        <v>552929.80272001331</v>
      </c>
      <c r="AV45" s="305">
        <f>Assumptions!$B86*AV$4</f>
        <v>580576.29285601387</v>
      </c>
      <c r="AW45" s="305">
        <f>Assumptions!$B86*AW$4</f>
        <v>609605.10749881458</v>
      </c>
      <c r="AX45" s="305">
        <f>Assumptions!$B86*AX$4</f>
        <v>640085.36287375528</v>
      </c>
      <c r="AY45" s="305">
        <f>Assumptions!$B86*AY$4</f>
        <v>672089.63101744303</v>
      </c>
      <c r="AZ45" s="305">
        <f>Assumptions!$B86*AZ$4</f>
        <v>705694.11256831523</v>
      </c>
      <c r="BA45" s="305">
        <f>Assumptions!$B86*BA$4</f>
        <v>740978.81819673104</v>
      </c>
      <c r="BB45" s="305">
        <f>Assumptions!$B86*BB$4</f>
        <v>778027.7591065676</v>
      </c>
      <c r="BC45" s="305">
        <f>Assumptions!$B86*BC$4</f>
        <v>816929.14706189616</v>
      </c>
      <c r="BD45" s="305">
        <f>Assumptions!$B86*BD$4</f>
        <v>857775.60441499087</v>
      </c>
      <c r="BE45" s="305">
        <f>Assumptions!$B86*BE$4</f>
        <v>900664.38463574043</v>
      </c>
      <c r="BF45" s="305">
        <f>Assumptions!$B86*BF$4</f>
        <v>945697.60386752733</v>
      </c>
      <c r="BG45" s="305">
        <f>Assumptions!$B86*BG$4</f>
        <v>992982.48406090389</v>
      </c>
      <c r="BH45" s="305">
        <f>Assumptions!$B86*BH$4</f>
        <v>1042631.6082639492</v>
      </c>
      <c r="BI45" s="305">
        <f>Assumptions!$B86*BI$4</f>
        <v>1094763.1886771466</v>
      </c>
    </row>
    <row r="46" spans="1:63">
      <c r="A46" s="163"/>
      <c r="B46" s="164"/>
      <c r="C46" s="165"/>
      <c r="D46" s="165"/>
      <c r="E46" s="165"/>
      <c r="F46" s="165"/>
      <c r="G46" s="165"/>
      <c r="H46" s="165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  <c r="AA46" s="167"/>
      <c r="AB46" s="167"/>
      <c r="AC46" s="167"/>
      <c r="AD46" s="167"/>
      <c r="AE46" s="167"/>
      <c r="AF46" s="167"/>
      <c r="AG46" s="167"/>
      <c r="AH46" s="167"/>
      <c r="AI46" s="167"/>
      <c r="AJ46" s="167"/>
      <c r="AK46" s="167"/>
      <c r="AL46" s="167"/>
      <c r="AM46" s="167"/>
      <c r="AN46" s="167"/>
      <c r="AO46" s="167"/>
      <c r="AP46" s="167"/>
      <c r="AQ46" s="167"/>
      <c r="AR46" s="167"/>
      <c r="AS46" s="167"/>
      <c r="AT46" s="167"/>
      <c r="AU46" s="167"/>
      <c r="AV46" s="167"/>
      <c r="AW46" s="167"/>
      <c r="AX46" s="167"/>
      <c r="AY46" s="167"/>
      <c r="AZ46" s="167"/>
      <c r="BA46" s="167"/>
      <c r="BB46" s="167"/>
      <c r="BC46" s="167"/>
      <c r="BD46" s="167"/>
      <c r="BE46" s="167"/>
      <c r="BF46" s="167"/>
      <c r="BG46" s="167"/>
      <c r="BH46" s="167"/>
      <c r="BI46" s="167"/>
      <c r="BJ46" s="167"/>
    </row>
    <row r="47" spans="1:63" s="297" customFormat="1" ht="21">
      <c r="A47" s="316" t="s">
        <v>301</v>
      </c>
      <c r="B47" s="318">
        <f>SUM(B40:B45)</f>
        <v>86625</v>
      </c>
      <c r="C47" s="318">
        <f t="shared" ref="C47:BK47" si="66">SUM(C40:C45)</f>
        <v>89223.750000000029</v>
      </c>
      <c r="D47" s="318">
        <f t="shared" si="66"/>
        <v>91900.462500000009</v>
      </c>
      <c r="E47" s="318">
        <f t="shared" si="66"/>
        <v>94657.476374999998</v>
      </c>
      <c r="F47" s="318">
        <f t="shared" si="66"/>
        <v>97497.200666250021</v>
      </c>
      <c r="G47" s="318">
        <f t="shared" si="66"/>
        <v>100422.11668623751</v>
      </c>
      <c r="H47" s="318">
        <f t="shared" si="66"/>
        <v>103434.78018682465</v>
      </c>
      <c r="I47" s="318">
        <f t="shared" si="66"/>
        <v>106537.8235924294</v>
      </c>
      <c r="J47" s="318">
        <f t="shared" si="66"/>
        <v>109733.95830020227</v>
      </c>
      <c r="K47" s="318">
        <f t="shared" si="66"/>
        <v>113025.97704920835</v>
      </c>
      <c r="L47" s="318">
        <f t="shared" si="66"/>
        <v>116416.75636068461</v>
      </c>
      <c r="M47" s="318">
        <f t="shared" si="66"/>
        <v>119909.25905150511</v>
      </c>
      <c r="N47" s="318">
        <f t="shared" si="66"/>
        <v>198150.18495665566</v>
      </c>
      <c r="O47" s="318">
        <f t="shared" si="66"/>
        <v>217965.20345232126</v>
      </c>
      <c r="P47" s="318">
        <f t="shared" si="66"/>
        <v>239761.72379755339</v>
      </c>
      <c r="Q47" s="318">
        <f t="shared" si="66"/>
        <v>263737.89617730869</v>
      </c>
      <c r="R47" s="318">
        <f t="shared" si="66"/>
        <v>290111.68579503958</v>
      </c>
      <c r="S47" s="318">
        <f t="shared" si="66"/>
        <v>319122.85437454359</v>
      </c>
      <c r="T47" s="318">
        <f t="shared" si="66"/>
        <v>351035.13981199794</v>
      </c>
      <c r="U47" s="318">
        <f t="shared" si="66"/>
        <v>386138.65379319782</v>
      </c>
      <c r="V47" s="318">
        <f t="shared" si="66"/>
        <v>424752.5191725177</v>
      </c>
      <c r="W47" s="318">
        <f t="shared" si="66"/>
        <v>467227.77108976943</v>
      </c>
      <c r="X47" s="318">
        <f t="shared" si="66"/>
        <v>513950.5481987464</v>
      </c>
      <c r="Y47" s="318">
        <f t="shared" si="66"/>
        <v>565345.60301862098</v>
      </c>
      <c r="Z47" s="318">
        <f t="shared" si="66"/>
        <v>593612.88316955208</v>
      </c>
      <c r="AA47" s="318">
        <f t="shared" si="66"/>
        <v>623293.52732802974</v>
      </c>
      <c r="AB47" s="318">
        <f t="shared" si="66"/>
        <v>654458.20369443111</v>
      </c>
      <c r="AC47" s="318">
        <f t="shared" si="66"/>
        <v>687181.11387915281</v>
      </c>
      <c r="AD47" s="318">
        <f t="shared" si="66"/>
        <v>721540.16957311041</v>
      </c>
      <c r="AE47" s="318">
        <f t="shared" si="66"/>
        <v>757617.17805176601</v>
      </c>
      <c r="AF47" s="318">
        <f t="shared" si="66"/>
        <v>795498.03695435426</v>
      </c>
      <c r="AG47" s="318">
        <f t="shared" si="66"/>
        <v>835272.93880207208</v>
      </c>
      <c r="AH47" s="318">
        <f t="shared" si="66"/>
        <v>877036.58574217581</v>
      </c>
      <c r="AI47" s="318">
        <f t="shared" si="66"/>
        <v>920888.41502928454</v>
      </c>
      <c r="AJ47" s="318">
        <f t="shared" si="66"/>
        <v>966932.83578074898</v>
      </c>
      <c r="AK47" s="318">
        <f t="shared" si="66"/>
        <v>1015279.4775697864</v>
      </c>
      <c r="AL47" s="318">
        <f t="shared" si="66"/>
        <v>1066043.4514482757</v>
      </c>
      <c r="AM47" s="318">
        <f t="shared" si="66"/>
        <v>1119345.6240206896</v>
      </c>
      <c r="AN47" s="318">
        <f t="shared" si="66"/>
        <v>1175312.9052217242</v>
      </c>
      <c r="AO47" s="318">
        <f t="shared" si="66"/>
        <v>1234078.5504828105</v>
      </c>
      <c r="AP47" s="318">
        <f t="shared" si="66"/>
        <v>1295782.478006951</v>
      </c>
      <c r="AQ47" s="318">
        <f t="shared" si="66"/>
        <v>1360571.6019072987</v>
      </c>
      <c r="AR47" s="318">
        <f t="shared" si="66"/>
        <v>1428600.1820026636</v>
      </c>
      <c r="AS47" s="318">
        <f t="shared" si="66"/>
        <v>1500030.1911027967</v>
      </c>
      <c r="AT47" s="318">
        <f t="shared" si="66"/>
        <v>1575031.7006579367</v>
      </c>
      <c r="AU47" s="318">
        <f t="shared" si="66"/>
        <v>1653783.2856908336</v>
      </c>
      <c r="AV47" s="318">
        <f t="shared" si="66"/>
        <v>1736472.4499753753</v>
      </c>
      <c r="AW47" s="318">
        <f t="shared" si="66"/>
        <v>1823296.0724741442</v>
      </c>
      <c r="AX47" s="318">
        <f t="shared" si="66"/>
        <v>1914460.8760978514</v>
      </c>
      <c r="AY47" s="318">
        <f t="shared" si="66"/>
        <v>2010183.9199027435</v>
      </c>
      <c r="AZ47" s="318">
        <f t="shared" si="66"/>
        <v>2110693.1158978809</v>
      </c>
      <c r="BA47" s="318">
        <f t="shared" si="66"/>
        <v>2216227.7716927757</v>
      </c>
      <c r="BB47" s="318">
        <f t="shared" si="66"/>
        <v>2327039.1602774141</v>
      </c>
      <c r="BC47" s="318">
        <f t="shared" si="66"/>
        <v>2443391.1182912854</v>
      </c>
      <c r="BD47" s="318">
        <f t="shared" si="66"/>
        <v>2565560.6742058494</v>
      </c>
      <c r="BE47" s="318">
        <f t="shared" si="66"/>
        <v>2693838.707916142</v>
      </c>
      <c r="BF47" s="318">
        <f t="shared" si="66"/>
        <v>2828530.643311949</v>
      </c>
      <c r="BG47" s="318">
        <f t="shared" si="66"/>
        <v>2969957.1754775466</v>
      </c>
      <c r="BH47" s="318">
        <f t="shared" si="66"/>
        <v>3118455.0342514245</v>
      </c>
      <c r="BI47" s="318">
        <f t="shared" si="66"/>
        <v>3274377.7859639958</v>
      </c>
      <c r="BJ47" s="318">
        <f t="shared" si="66"/>
        <v>0</v>
      </c>
      <c r="BK47" s="318">
        <f t="shared" si="66"/>
        <v>0</v>
      </c>
    </row>
    <row r="48" spans="1:63">
      <c r="C48" s="113"/>
      <c r="L48" s="149"/>
      <c r="Q48" s="69"/>
    </row>
    <row r="49" spans="1:17">
      <c r="C49" s="113"/>
      <c r="L49" s="149"/>
      <c r="Q49" s="69"/>
    </row>
    <row r="50" spans="1:17" s="292" customFormat="1">
      <c r="A50" s="289"/>
      <c r="B50" s="289"/>
      <c r="C50" s="290"/>
      <c r="D50" s="290"/>
      <c r="E50" s="290"/>
      <c r="F50" s="290"/>
      <c r="G50" s="290"/>
      <c r="H50" s="290"/>
      <c r="I50" s="290"/>
      <c r="J50" s="290"/>
      <c r="K50" s="290"/>
      <c r="L50" s="291"/>
      <c r="M50" s="291"/>
      <c r="N50" s="291"/>
      <c r="O50" s="291"/>
      <c r="P50" s="291"/>
    </row>
    <row r="51" spans="1:17">
      <c r="C51" s="113"/>
      <c r="L51" s="149"/>
      <c r="Q51" s="69"/>
    </row>
    <row r="52" spans="1:17">
      <c r="C52" s="113"/>
      <c r="L52" s="149"/>
      <c r="Q52" s="69"/>
    </row>
    <row r="53" spans="1:17">
      <c r="C53" s="113"/>
      <c r="L53" s="149"/>
      <c r="Q53" s="69"/>
    </row>
    <row r="54" spans="1:17">
      <c r="C54" s="113"/>
      <c r="L54" s="149"/>
      <c r="Q54" s="69"/>
    </row>
    <row r="55" spans="1:17" s="292" customFormat="1">
      <c r="A55" s="289"/>
      <c r="B55" s="289"/>
      <c r="C55" s="290"/>
      <c r="D55" s="290"/>
      <c r="E55" s="290"/>
      <c r="F55" s="290"/>
      <c r="G55" s="290"/>
      <c r="H55" s="290"/>
      <c r="I55" s="290"/>
      <c r="J55" s="290"/>
      <c r="K55" s="290"/>
      <c r="L55" s="291"/>
      <c r="M55" s="291"/>
      <c r="N55" s="291"/>
      <c r="O55" s="291"/>
      <c r="P55" s="291"/>
    </row>
    <row r="56" spans="1:17">
      <c r="C56" s="113"/>
      <c r="L56" s="149"/>
      <c r="Q56" s="69"/>
    </row>
    <row r="57" spans="1:17">
      <c r="C57" s="113"/>
      <c r="L57" s="149"/>
      <c r="Q57" s="69"/>
    </row>
    <row r="58" spans="1:17">
      <c r="C58" s="113"/>
      <c r="L58" s="149"/>
      <c r="Q58" s="69"/>
    </row>
    <row r="59" spans="1:17">
      <c r="C59" s="113"/>
      <c r="L59" s="149"/>
      <c r="Q59" s="69"/>
    </row>
    <row r="60" spans="1:17" s="292" customFormat="1">
      <c r="A60" s="289"/>
      <c r="B60" s="289"/>
      <c r="C60" s="290"/>
      <c r="D60" s="290"/>
      <c r="E60" s="290"/>
      <c r="F60" s="290"/>
      <c r="G60" s="290"/>
      <c r="H60" s="290"/>
      <c r="I60" s="290"/>
      <c r="J60" s="290"/>
      <c r="K60" s="290"/>
      <c r="L60" s="291"/>
      <c r="M60" s="291"/>
      <c r="N60" s="291"/>
      <c r="O60" s="291"/>
      <c r="P60" s="291"/>
    </row>
    <row r="61" spans="1:17">
      <c r="C61" s="113"/>
      <c r="L61" s="149"/>
      <c r="Q61" s="69"/>
    </row>
    <row r="62" spans="1:17">
      <c r="C62" s="113"/>
      <c r="L62" s="149"/>
      <c r="Q62" s="69"/>
    </row>
    <row r="63" spans="1:17">
      <c r="C63" s="113"/>
      <c r="L63" s="149"/>
      <c r="Q63" s="69"/>
    </row>
    <row r="64" spans="1:17">
      <c r="C64" s="113"/>
      <c r="L64" s="149"/>
      <c r="Q64" s="69"/>
    </row>
    <row r="65" spans="1:17" s="292" customFormat="1">
      <c r="A65" s="289"/>
      <c r="B65" s="289"/>
      <c r="C65" s="290"/>
      <c r="D65" s="290"/>
      <c r="E65" s="290"/>
      <c r="F65" s="290"/>
      <c r="G65" s="290"/>
      <c r="H65" s="290"/>
      <c r="I65" s="290"/>
      <c r="J65" s="290"/>
      <c r="K65" s="290"/>
      <c r="L65" s="291"/>
      <c r="M65" s="291"/>
      <c r="N65" s="291"/>
      <c r="O65" s="291"/>
      <c r="P65" s="291"/>
    </row>
    <row r="66" spans="1:17">
      <c r="C66" s="113"/>
      <c r="L66" s="149"/>
      <c r="Q66" s="69"/>
    </row>
    <row r="67" spans="1:17">
      <c r="C67" s="113"/>
      <c r="L67" s="149"/>
      <c r="Q67" s="69"/>
    </row>
    <row r="68" spans="1:17">
      <c r="C68" s="113"/>
      <c r="L68" s="149"/>
      <c r="Q68" s="69"/>
    </row>
    <row r="69" spans="1:17">
      <c r="C69" s="113"/>
      <c r="L69" s="149"/>
      <c r="Q69" s="69"/>
    </row>
    <row r="70" spans="1:17">
      <c r="C70" s="113"/>
      <c r="L70" s="149"/>
      <c r="Q70" s="69"/>
    </row>
    <row r="71" spans="1:17">
      <c r="C71" s="113"/>
      <c r="L71" s="149"/>
      <c r="Q71" s="69"/>
    </row>
    <row r="72" spans="1:17">
      <c r="C72" s="113"/>
      <c r="L72" s="149"/>
      <c r="Q72" s="69"/>
    </row>
    <row r="73" spans="1:17">
      <c r="C73" s="113"/>
      <c r="L73" s="149"/>
      <c r="Q73" s="69"/>
    </row>
    <row r="74" spans="1:17">
      <c r="C74" s="113"/>
      <c r="L74" s="149"/>
      <c r="Q74" s="69"/>
    </row>
    <row r="75" spans="1:17">
      <c r="C75" s="113"/>
      <c r="L75" s="149"/>
      <c r="Q75" s="69"/>
    </row>
    <row r="76" spans="1:17">
      <c r="C76" s="113"/>
      <c r="L76" s="149"/>
      <c r="Q76" s="69"/>
    </row>
    <row r="77" spans="1:17">
      <c r="C77" s="113"/>
      <c r="L77" s="149"/>
      <c r="Q77" s="69"/>
    </row>
    <row r="78" spans="1:17">
      <c r="C78" s="113"/>
      <c r="L78" s="149"/>
      <c r="Q78" s="69"/>
    </row>
    <row r="79" spans="1:17">
      <c r="C79" s="113"/>
      <c r="L79" s="149"/>
      <c r="Q79" s="69"/>
    </row>
    <row r="80" spans="1:17">
      <c r="C80" s="113"/>
      <c r="L80" s="149"/>
      <c r="Q80" s="69"/>
    </row>
    <row r="81" spans="3:17">
      <c r="C81" s="113"/>
      <c r="L81" s="149"/>
      <c r="Q81" s="69"/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5"/>
  <dimension ref="A1:BI62"/>
  <sheetViews>
    <sheetView showGridLines="0" tabSelected="1" zoomScale="85" zoomScaleNormal="85" workbookViewId="0">
      <selection activeCell="A2" sqref="A2"/>
    </sheetView>
  </sheetViews>
  <sheetFormatPr defaultColWidth="9.109375" defaultRowHeight="15.6"/>
  <cols>
    <col min="1" max="1" width="44.44140625" style="151" customWidth="1"/>
    <col min="2" max="2" width="16.6640625" style="152" customWidth="1"/>
    <col min="3" max="3" width="16.5546875" style="153" customWidth="1"/>
    <col min="4" max="4" width="17.88671875" style="153" customWidth="1"/>
    <col min="5" max="5" width="17.33203125" style="153" customWidth="1"/>
    <col min="6" max="6" width="17.6640625" style="149" customWidth="1"/>
    <col min="7" max="7" width="3.88671875" customWidth="1"/>
    <col min="8" max="13" width="15" customWidth="1"/>
    <col min="14" max="14" width="14.6640625" customWidth="1"/>
    <col min="15" max="15" width="15" customWidth="1"/>
    <col min="16" max="16" width="15.109375" customWidth="1"/>
    <col min="17" max="18" width="14.6640625" customWidth="1"/>
    <col min="19" max="19" width="15" customWidth="1"/>
    <col min="20" max="22" width="14.6640625" customWidth="1"/>
    <col min="23" max="23" width="15.33203125" customWidth="1"/>
    <col min="24" max="24" width="15" customWidth="1"/>
    <col min="25" max="27" width="15.109375" customWidth="1"/>
    <col min="28" max="29" width="14.6640625" customWidth="1"/>
    <col min="30" max="30" width="15.44140625" customWidth="1"/>
    <col min="31" max="31" width="16.5546875" customWidth="1"/>
    <col min="32" max="32" width="16.109375" customWidth="1"/>
    <col min="33" max="33" width="15.44140625" customWidth="1"/>
    <col min="34" max="34" width="16" customWidth="1"/>
    <col min="35" max="35" width="16.109375" customWidth="1"/>
    <col min="36" max="36" width="15.6640625" customWidth="1"/>
    <col min="37" max="37" width="16.44140625" customWidth="1"/>
    <col min="38" max="39" width="16.33203125" customWidth="1"/>
    <col min="40" max="40" width="15.44140625" customWidth="1"/>
    <col min="41" max="41" width="16" customWidth="1"/>
    <col min="42" max="42" width="16.5546875" customWidth="1"/>
    <col min="43" max="43" width="16.44140625" customWidth="1"/>
    <col min="44" max="45" width="16.5546875" customWidth="1"/>
    <col min="46" max="46" width="16.44140625" customWidth="1"/>
    <col min="47" max="47" width="15.6640625" customWidth="1"/>
    <col min="48" max="48" width="16" customWidth="1"/>
    <col min="49" max="49" width="16.109375" customWidth="1"/>
    <col min="50" max="50" width="16.44140625" customWidth="1"/>
    <col min="51" max="51" width="15.6640625" customWidth="1"/>
    <col min="52" max="52" width="16.109375" customWidth="1"/>
    <col min="53" max="53" width="16.5546875" customWidth="1"/>
    <col min="54" max="54" width="16.33203125" customWidth="1"/>
    <col min="55" max="55" width="16.5546875" customWidth="1"/>
    <col min="56" max="58" width="16.33203125" customWidth="1"/>
    <col min="59" max="60" width="16.44140625" customWidth="1"/>
    <col min="61" max="61" width="16.5546875" customWidth="1"/>
    <col min="62" max="16384" width="9.109375" style="69"/>
  </cols>
  <sheetData>
    <row r="1" spans="1:61">
      <c r="A1" s="149"/>
      <c r="B1" s="149"/>
      <c r="C1" s="154"/>
      <c r="D1" s="149"/>
      <c r="E1" s="149"/>
    </row>
    <row r="2" spans="1:61" s="147" customFormat="1" ht="17.399999999999999">
      <c r="A2" s="102" t="s">
        <v>173</v>
      </c>
      <c r="B2" s="86" t="s">
        <v>1</v>
      </c>
      <c r="C2" s="86" t="s">
        <v>2</v>
      </c>
      <c r="D2" s="86" t="s">
        <v>3</v>
      </c>
      <c r="E2" s="86" t="s">
        <v>4</v>
      </c>
      <c r="F2" s="86" t="s">
        <v>5</v>
      </c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</row>
    <row r="3" spans="1:61" s="292" customFormat="1">
      <c r="A3" s="276" t="s">
        <v>302</v>
      </c>
      <c r="B3" s="277">
        <f>SUM('Monthly Income Statement '!B3:M3)</f>
        <v>3725407.7599040661</v>
      </c>
      <c r="C3" s="277">
        <f>SUM('Monthly Income Statement '!N3:Y3)</f>
        <v>11220280.877145521</v>
      </c>
      <c r="D3" s="277">
        <f>SUM('Monthly Income Statement '!Z3:AK3)</f>
        <v>25019724.549606074</v>
      </c>
      <c r="E3" s="277">
        <f>SUM('Monthly Income Statement '!AL3:AW3)</f>
        <v>44931830.607741259</v>
      </c>
      <c r="F3" s="277">
        <f>SUM('Monthly Income Statement '!AX3:BI3)</f>
        <v>80691112.236666903</v>
      </c>
      <c r="G3" s="309"/>
      <c r="H3" s="310"/>
      <c r="I3" s="309"/>
      <c r="J3" s="309"/>
      <c r="K3" s="309"/>
      <c r="L3" s="309"/>
      <c r="M3" s="309"/>
      <c r="N3" s="309"/>
      <c r="O3" s="309"/>
      <c r="P3" s="309"/>
      <c r="Q3" s="309"/>
      <c r="R3" s="309"/>
      <c r="S3" s="309"/>
      <c r="T3" s="309"/>
      <c r="U3" s="309"/>
      <c r="V3" s="309"/>
      <c r="W3" s="309"/>
      <c r="X3" s="309"/>
      <c r="Y3" s="309"/>
      <c r="Z3" s="309"/>
      <c r="AA3" s="309"/>
      <c r="AB3" s="309"/>
      <c r="AC3" s="309"/>
      <c r="AD3" s="309"/>
      <c r="AE3" s="309"/>
      <c r="AF3" s="309"/>
      <c r="AG3" s="309"/>
      <c r="AH3" s="309"/>
      <c r="AI3" s="309"/>
      <c r="AJ3" s="309"/>
      <c r="AK3" s="309"/>
      <c r="AL3" s="309"/>
      <c r="AM3" s="309"/>
      <c r="AN3" s="309"/>
      <c r="AO3" s="309"/>
      <c r="AP3" s="309"/>
      <c r="AQ3" s="309"/>
      <c r="AR3" s="309"/>
      <c r="AS3" s="309"/>
      <c r="AT3" s="309"/>
      <c r="AU3" s="309"/>
      <c r="AV3" s="309"/>
      <c r="AW3" s="309"/>
      <c r="AX3" s="309"/>
      <c r="AY3" s="309"/>
      <c r="AZ3" s="309"/>
      <c r="BA3" s="309"/>
      <c r="BB3" s="309"/>
      <c r="BC3" s="309"/>
      <c r="BD3" s="309"/>
      <c r="BE3" s="309"/>
      <c r="BF3" s="309"/>
      <c r="BG3" s="309"/>
      <c r="BH3" s="309"/>
      <c r="BI3" s="309"/>
    </row>
    <row r="4" spans="1:61">
      <c r="A4" s="276" t="str">
        <f>'Monthly Income Statement '!A4</f>
        <v>Cost Of Goods Sold</v>
      </c>
      <c r="B4" s="277">
        <f>SUM('Monthly Income Statement '!B4:M4)</f>
        <v>1229384.5607683416</v>
      </c>
      <c r="C4" s="277">
        <f>SUM('Monthly Income Statement '!N4:Y4)</f>
        <v>4237299.7836382724</v>
      </c>
      <c r="D4" s="277">
        <f>SUM('Monthly Income Statement '!Z4:AK4)</f>
        <v>9448611.3655744642</v>
      </c>
      <c r="E4" s="277">
        <f>SUM('Monthly Income Statement '!AL4:AW4)</f>
        <v>16968348.4929915</v>
      </c>
      <c r="F4" s="277">
        <f>SUM('Monthly Income Statement '!AX4:BI4)</f>
        <v>30472715.983286858</v>
      </c>
      <c r="H4" s="286"/>
    </row>
    <row r="5" spans="1:61">
      <c r="A5" s="307" t="str">
        <f>'Monthly Income Statement '!A5</f>
        <v>Gross Profit</v>
      </c>
      <c r="B5" s="308">
        <f>SUM('Monthly Income Statement '!B5:M5)</f>
        <v>2496023.199135724</v>
      </c>
      <c r="C5" s="308">
        <f>SUM('Monthly Income Statement '!N5:Y5)</f>
        <v>6982981.0935072489</v>
      </c>
      <c r="D5" s="308">
        <f>SUM('Monthly Income Statement '!Z5:AK5)</f>
        <v>15571113.184031609</v>
      </c>
      <c r="E5" s="308">
        <f>SUM('Monthly Income Statement '!AL5:AW5)</f>
        <v>27963482.114749759</v>
      </c>
      <c r="F5" s="308">
        <f>SUM('Monthly Income Statement '!AX5:BI5)</f>
        <v>50218396.253380038</v>
      </c>
    </row>
    <row r="6" spans="1:61">
      <c r="A6" s="276"/>
      <c r="B6" s="277"/>
      <c r="C6" s="277"/>
      <c r="D6" s="277"/>
      <c r="E6" s="277"/>
      <c r="F6" s="277"/>
    </row>
    <row r="7" spans="1:61">
      <c r="A7" s="103" t="s">
        <v>176</v>
      </c>
      <c r="B7" s="97"/>
      <c r="C7" s="97"/>
      <c r="D7" s="97"/>
      <c r="E7" s="97"/>
      <c r="F7" s="91"/>
    </row>
    <row r="8" spans="1:61">
      <c r="A8" s="105" t="str">
        <f>'Expense Sheet'!A3</f>
        <v>Payroll</v>
      </c>
      <c r="B8" s="91">
        <f>SUM('Monthly Income Statement '!B8:M8)</f>
        <v>951033</v>
      </c>
      <c r="C8" s="91">
        <f>SUM('Monthly Income Statement '!N8:Y8)</f>
        <v>1059585.9083333337</v>
      </c>
      <c r="D8" s="91">
        <f>SUM('Monthly Income Statement '!Z8:AK8)</f>
        <v>1233854.0775000001</v>
      </c>
      <c r="E8" s="91">
        <f>SUM('Monthly Income Statement '!AL8:AW8)</f>
        <v>1297355.8134166666</v>
      </c>
      <c r="F8" s="91">
        <f>SUM('Monthly Income Statement '!AX8:BI8)</f>
        <v>1363187.1915750001</v>
      </c>
      <c r="H8" t="s">
        <v>174</v>
      </c>
    </row>
    <row r="9" spans="1:61" ht="14.25" customHeight="1">
      <c r="A9" s="105" t="str">
        <f>'Expense Sheet'!A4</f>
        <v>Rent &amp; Utilities</v>
      </c>
      <c r="B9" s="91">
        <f>SUM('Monthly Income Statement '!B9:M9)</f>
        <v>192000</v>
      </c>
      <c r="C9" s="91">
        <f>SUM('Monthly Income Statement '!N9:Y9)</f>
        <v>197760</v>
      </c>
      <c r="D9" s="91">
        <f>SUM('Monthly Income Statement '!Z9:AK9)</f>
        <v>203692.79999999996</v>
      </c>
      <c r="E9" s="91">
        <f>SUM('Monthly Income Statement '!AL9:AW9)</f>
        <v>209803.58400000006</v>
      </c>
      <c r="F9" s="91">
        <f>SUM('Monthly Income Statement '!AX9:BI9)</f>
        <v>216097.69151999996</v>
      </c>
      <c r="H9" t="s">
        <v>175</v>
      </c>
    </row>
    <row r="10" spans="1:61">
      <c r="A10" s="105" t="str">
        <f>'Expense Sheet'!A5</f>
        <v>Regulatory &amp; Compliance</v>
      </c>
      <c r="B10" s="91">
        <f>SUM('Monthly Income Statement '!B10:M10)</f>
        <v>109200</v>
      </c>
      <c r="C10" s="91">
        <f>SUM('Monthly Income Statement '!N10:Y10)</f>
        <v>218400</v>
      </c>
      <c r="D10" s="91">
        <f>SUM('Monthly Income Statement '!Z10:AK10)</f>
        <v>436800</v>
      </c>
      <c r="E10" s="91">
        <f>SUM('Monthly Income Statement '!AL10:AW10)</f>
        <v>873600</v>
      </c>
      <c r="F10" s="91">
        <f>SUM('Monthly Income Statement '!AX10:BI10)</f>
        <v>1747200</v>
      </c>
      <c r="H10" t="s">
        <v>177</v>
      </c>
    </row>
    <row r="11" spans="1:61">
      <c r="A11" s="105" t="str">
        <f>'Expense Sheet'!A6</f>
        <v>Maintenance &amp; Equipment Upkeep</v>
      </c>
      <c r="B11" s="91">
        <f>SUM('Monthly Income Statement '!B11:M11)</f>
        <v>138000</v>
      </c>
      <c r="C11" s="91">
        <f>SUM('Monthly Income Statement '!N11:Y11)</f>
        <v>276000</v>
      </c>
      <c r="D11" s="91">
        <f>SUM('Monthly Income Statement '!Z11:AK11)</f>
        <v>552000</v>
      </c>
      <c r="E11" s="91">
        <f>SUM('Monthly Income Statement '!AL11:AW11)</f>
        <v>1104000</v>
      </c>
      <c r="F11" s="91">
        <f>SUM('Monthly Income Statement '!AX11:BI11)</f>
        <v>2208000</v>
      </c>
    </row>
    <row r="12" spans="1:61">
      <c r="A12" s="105" t="str">
        <f>'Expense Sheet'!A7</f>
        <v>Insurance &amp; Security</v>
      </c>
      <c r="B12" s="91">
        <f>SUM('Monthly Income Statement '!B12:M12)</f>
        <v>96000</v>
      </c>
      <c r="C12" s="91">
        <f>SUM('Monthly Income Statement '!N12:Y12)</f>
        <v>192000</v>
      </c>
      <c r="D12" s="91">
        <f>SUM('Monthly Income Statement '!Z12:AK12)</f>
        <v>384000</v>
      </c>
      <c r="E12" s="91">
        <f>SUM('Monthly Income Statement '!AL12:AW12)</f>
        <v>768000</v>
      </c>
      <c r="F12" s="91">
        <f>SUM('Monthly Income Statement '!AX12:BI12)</f>
        <v>1536000</v>
      </c>
    </row>
    <row r="13" spans="1:61">
      <c r="A13" s="105" t="str">
        <f>'Expense Sheet'!A8</f>
        <v>Marketing &amp; Advertising</v>
      </c>
      <c r="B13" s="91">
        <f>SUM('Monthly Income Statement '!B13:M13)</f>
        <v>260778.54319328463</v>
      </c>
      <c r="C13" s="91">
        <f>SUM('Monthly Income Statement '!N13:Y13)</f>
        <v>785419.6614001866</v>
      </c>
      <c r="D13" s="91">
        <f>SUM('Monthly Income Statement '!Z13:AK13)</f>
        <v>1751380.7184724254</v>
      </c>
      <c r="E13" s="91">
        <f>SUM('Monthly Income Statement '!AL13:AW13)</f>
        <v>3145228.1425418886</v>
      </c>
      <c r="F13" s="91">
        <f>SUM('Monthly Income Statement '!AX13:BI13)</f>
        <v>5648377.8565666834</v>
      </c>
    </row>
    <row r="14" spans="1:61">
      <c r="A14" s="105" t="str">
        <f>'Expense Sheet'!A9</f>
        <v>R&amp;D &amp; Prototyping</v>
      </c>
      <c r="B14" s="91">
        <f>SUM('Monthly Income Statement '!B14:M14)</f>
        <v>66000</v>
      </c>
      <c r="C14" s="91">
        <f>SUM('Monthly Income Statement '!N14:Y14)</f>
        <v>132000</v>
      </c>
      <c r="D14" s="91">
        <f>SUM('Monthly Income Statement '!Z14:AK14)</f>
        <v>264000</v>
      </c>
      <c r="E14" s="91">
        <f>SUM('Monthly Income Statement '!AL14:AW14)</f>
        <v>528000</v>
      </c>
      <c r="F14" s="91">
        <f>SUM('Monthly Income Statement '!AX14:BI14)</f>
        <v>1056000</v>
      </c>
    </row>
    <row r="15" spans="1:61">
      <c r="A15" s="105" t="str">
        <f>'Expense Sheet'!A10</f>
        <v>Miscellaneous Expenses</v>
      </c>
      <c r="B15" s="91">
        <f>SUM('Monthly Income Statement '!B15:M15)</f>
        <v>18000</v>
      </c>
      <c r="C15" s="91">
        <f>SUM('Monthly Income Statement '!N15:Y15)</f>
        <v>36000</v>
      </c>
      <c r="D15" s="91">
        <f>SUM('Monthly Income Statement '!Z15:AK15)</f>
        <v>72000</v>
      </c>
      <c r="E15" s="91">
        <f>SUM('Monthly Income Statement '!AL15:AW15)</f>
        <v>144000</v>
      </c>
      <c r="F15" s="91">
        <f>SUM('Monthly Income Statement '!AX15:BI15)</f>
        <v>288000</v>
      </c>
    </row>
    <row r="16" spans="1:61">
      <c r="A16" s="105"/>
      <c r="B16" s="91"/>
      <c r="C16" s="91"/>
      <c r="D16" s="91"/>
      <c r="E16" s="91"/>
      <c r="F16" s="91"/>
    </row>
    <row r="17" spans="1:6">
      <c r="A17" s="103" t="s">
        <v>35</v>
      </c>
      <c r="B17" s="97">
        <f>IFERROR(SUM(B8:B16),"")</f>
        <v>1831011.5431932847</v>
      </c>
      <c r="C17" s="97">
        <f t="shared" ref="C17:F17" si="0">IFERROR(SUM(C8:C16),"")</f>
        <v>2897165.56973352</v>
      </c>
      <c r="D17" s="97">
        <f t="shared" si="0"/>
        <v>4897727.5959724262</v>
      </c>
      <c r="E17" s="97">
        <f t="shared" si="0"/>
        <v>8069987.5399585553</v>
      </c>
      <c r="F17" s="97">
        <f t="shared" si="0"/>
        <v>14062862.739661682</v>
      </c>
    </row>
    <row r="18" spans="1:6">
      <c r="A18" s="103"/>
      <c r="B18" s="97"/>
      <c r="C18" s="97"/>
      <c r="D18" s="97"/>
      <c r="E18" s="97"/>
      <c r="F18" s="97"/>
    </row>
    <row r="19" spans="1:6">
      <c r="A19" s="103" t="str">
        <f>'Monthly Income Statement '!A19</f>
        <v>EBITDA</v>
      </c>
      <c r="B19" s="106">
        <f>B5-B17</f>
        <v>665011.65594243933</v>
      </c>
      <c r="C19" s="106">
        <f>C5-C17</f>
        <v>4085815.5237737289</v>
      </c>
      <c r="D19" s="106">
        <f>D5-D17</f>
        <v>10673385.588059183</v>
      </c>
      <c r="E19" s="106">
        <f>E5-E17</f>
        <v>19893494.574791204</v>
      </c>
      <c r="F19" s="106">
        <f>F5-F17</f>
        <v>36155533.513718352</v>
      </c>
    </row>
    <row r="20" spans="1:6">
      <c r="A20" s="103"/>
      <c r="B20" s="97"/>
      <c r="C20" s="97"/>
      <c r="D20" s="97"/>
      <c r="E20" s="97"/>
      <c r="F20" s="97"/>
    </row>
    <row r="21" spans="1:6">
      <c r="A21" s="105" t="str">
        <f>'Monthly Income Statement '!A21</f>
        <v>Interest Expense</v>
      </c>
      <c r="B21" s="91">
        <f>SUM('Monthly Income Statement '!B21:M21)</f>
        <v>0</v>
      </c>
      <c r="C21" s="91">
        <f>SUM('Monthly Income Statement '!N21:Y21)</f>
        <v>0</v>
      </c>
      <c r="D21" s="91">
        <f>SUM('Monthly Income Statement '!Z21:AK21)</f>
        <v>0</v>
      </c>
      <c r="E21" s="91">
        <f>SUM('Monthly Income Statement '!AL21:AW21)</f>
        <v>0</v>
      </c>
      <c r="F21" s="91">
        <f>SUM('Monthly Income Statement '!AX21:BI21)</f>
        <v>0</v>
      </c>
    </row>
    <row r="22" spans="1:6">
      <c r="A22" s="103"/>
      <c r="B22" s="97"/>
      <c r="C22" s="97"/>
      <c r="D22" s="97"/>
      <c r="E22" s="97"/>
      <c r="F22" s="97"/>
    </row>
    <row r="23" spans="1:6">
      <c r="A23" s="103" t="str">
        <f>'Monthly Income Statement '!A23</f>
        <v>EBTDA</v>
      </c>
      <c r="B23" s="106">
        <f>B19-B21</f>
        <v>665011.65594243933</v>
      </c>
      <c r="C23" s="106">
        <f t="shared" ref="C23:F23" si="1">C19-C21</f>
        <v>4085815.5237737289</v>
      </c>
      <c r="D23" s="106">
        <f t="shared" si="1"/>
        <v>10673385.588059183</v>
      </c>
      <c r="E23" s="106">
        <f t="shared" si="1"/>
        <v>19893494.574791204</v>
      </c>
      <c r="F23" s="106">
        <f t="shared" si="1"/>
        <v>36155533.513718352</v>
      </c>
    </row>
    <row r="24" spans="1:6">
      <c r="A24" s="103"/>
      <c r="B24" s="97"/>
      <c r="C24" s="97"/>
      <c r="D24" s="97"/>
      <c r="E24" s="97"/>
      <c r="F24" s="97"/>
    </row>
    <row r="25" spans="1:6">
      <c r="A25" s="105" t="str">
        <f>'Monthly Income Statement '!A25</f>
        <v>Depreciation</v>
      </c>
      <c r="B25" s="91">
        <f>SUM('Monthly Income Statement '!B25:M25)</f>
        <v>133500</v>
      </c>
      <c r="C25" s="91">
        <f>SUM('Monthly Income Statement '!N25:Y25)</f>
        <v>133500</v>
      </c>
      <c r="D25" s="91">
        <f>SUM('Monthly Income Statement '!Z25:AK25)</f>
        <v>133500</v>
      </c>
      <c r="E25" s="91">
        <f>SUM('Monthly Income Statement '!AL25:AW25)</f>
        <v>133500</v>
      </c>
      <c r="F25" s="91">
        <f>SUM('Monthly Income Statement '!AX25:BI25)</f>
        <v>133500</v>
      </c>
    </row>
    <row r="26" spans="1:6">
      <c r="A26" s="103"/>
      <c r="B26" s="97"/>
      <c r="C26" s="97"/>
      <c r="D26" s="97"/>
      <c r="E26" s="97"/>
      <c r="F26" s="97"/>
    </row>
    <row r="27" spans="1:6">
      <c r="A27" s="103" t="str">
        <f>'Monthly Income Statement '!A27</f>
        <v>Earnings before Tax (EBT)</v>
      </c>
      <c r="B27" s="106">
        <f>B23-B25</f>
        <v>531511.65594243933</v>
      </c>
      <c r="C27" s="106">
        <f t="shared" ref="C27:F27" si="2">C23-C25</f>
        <v>3952315.5237737289</v>
      </c>
      <c r="D27" s="106">
        <f t="shared" si="2"/>
        <v>10539885.588059183</v>
      </c>
      <c r="E27" s="106">
        <f t="shared" si="2"/>
        <v>19759994.574791204</v>
      </c>
      <c r="F27" s="106">
        <f t="shared" si="2"/>
        <v>36022033.513718352</v>
      </c>
    </row>
    <row r="28" spans="1:6">
      <c r="A28" s="103"/>
      <c r="B28" s="97"/>
      <c r="C28" s="97"/>
      <c r="D28" s="97"/>
      <c r="E28" s="97"/>
      <c r="F28" s="97"/>
    </row>
    <row r="29" spans="1:6">
      <c r="A29" s="104" t="str">
        <f>'Monthly Income Statement '!A29</f>
        <v>Tax</v>
      </c>
      <c r="B29" s="91">
        <f>SUM('Monthly Income Statement '!B29:M29)</f>
        <v>111617.44774791233</v>
      </c>
      <c r="C29" s="91">
        <f>SUM('Monthly Income Statement '!N29:Y29)</f>
        <v>829986.25999248319</v>
      </c>
      <c r="D29" s="91">
        <f>SUM('Monthly Income Statement '!Z29:AK29)</f>
        <v>2213375.9734924291</v>
      </c>
      <c r="E29" s="91">
        <f>SUM('Monthly Income Statement '!AL29:AW29)</f>
        <v>4149598.8607061519</v>
      </c>
      <c r="F29" s="91">
        <f>SUM('Monthly Income Statement '!AX29:BI29)</f>
        <v>7564627.0378808556</v>
      </c>
    </row>
    <row r="30" spans="1:6">
      <c r="A30" s="103"/>
      <c r="B30" s="97"/>
      <c r="C30" s="97"/>
      <c r="D30" s="97"/>
      <c r="E30" s="97"/>
      <c r="F30" s="97"/>
    </row>
    <row r="31" spans="1:6">
      <c r="A31" s="107" t="str">
        <f>'Monthly Income Statement '!A31</f>
        <v>Net Income / (Loss)</v>
      </c>
      <c r="B31" s="95">
        <f>B27-B29</f>
        <v>419894.20819452702</v>
      </c>
      <c r="C31" s="95">
        <f t="shared" ref="C31:F31" si="3">C27-C29</f>
        <v>3122329.2637812458</v>
      </c>
      <c r="D31" s="95">
        <f t="shared" si="3"/>
        <v>8326509.6145667545</v>
      </c>
      <c r="E31" s="95">
        <f t="shared" si="3"/>
        <v>15610395.714085052</v>
      </c>
      <c r="F31" s="95">
        <f t="shared" si="3"/>
        <v>28457406.475837495</v>
      </c>
    </row>
    <row r="32" spans="1:6">
      <c r="A32" s="107"/>
      <c r="B32" s="155"/>
      <c r="C32" s="155"/>
      <c r="D32" s="155"/>
      <c r="E32" s="155"/>
      <c r="F32" s="155"/>
    </row>
    <row r="33" spans="1:6">
      <c r="A33" s="109" t="s">
        <v>178</v>
      </c>
      <c r="B33" s="110">
        <f>IFERROR(B31/B3,"")</f>
        <v>0.11271093938059007</v>
      </c>
      <c r="C33" s="110">
        <f>IFERROR(C31/C3,"")</f>
        <v>0.27827549933630336</v>
      </c>
      <c r="D33" s="110">
        <f>IFERROR(D31/D3,"")</f>
        <v>0.33279781310373591</v>
      </c>
      <c r="E33" s="110">
        <f>IFERROR(E31/E3,"")</f>
        <v>0.34742398658014062</v>
      </c>
      <c r="F33" s="110">
        <f>IFERROR(F31/F3,"")</f>
        <v>0.35267089134144003</v>
      </c>
    </row>
    <row r="34" spans="1:6">
      <c r="A34" s="156"/>
      <c r="B34" s="157"/>
      <c r="C34" s="158"/>
      <c r="D34" s="158"/>
      <c r="E34" s="158"/>
      <c r="F34" s="159"/>
    </row>
    <row r="35" spans="1:6">
      <c r="A35" s="160"/>
    </row>
    <row r="36" spans="1:6">
      <c r="A36" s="160"/>
    </row>
    <row r="37" spans="1:6">
      <c r="A37" s="160"/>
      <c r="B37" s="157"/>
      <c r="C37" s="158"/>
      <c r="D37" s="158"/>
      <c r="E37" s="158"/>
      <c r="F37" s="161"/>
    </row>
    <row r="38" spans="1:6">
      <c r="A38" s="160"/>
      <c r="B38" s="157"/>
      <c r="C38" s="157"/>
      <c r="D38" s="157"/>
      <c r="E38" s="158"/>
      <c r="F38" s="161"/>
    </row>
    <row r="39" spans="1:6">
      <c r="C39" s="154"/>
      <c r="D39" s="154"/>
      <c r="E39" s="154"/>
      <c r="F39" s="162"/>
    </row>
    <row r="40" spans="1:6">
      <c r="C40" s="154"/>
      <c r="D40" s="154"/>
      <c r="E40" s="154"/>
      <c r="F40" s="162"/>
    </row>
    <row r="41" spans="1:6">
      <c r="C41" s="154"/>
      <c r="D41" s="154"/>
      <c r="E41" s="154"/>
      <c r="F41" s="162"/>
    </row>
    <row r="42" spans="1:6">
      <c r="C42" s="154"/>
      <c r="D42" s="154"/>
      <c r="E42" s="154"/>
      <c r="F42" s="162"/>
    </row>
    <row r="43" spans="1:6">
      <c r="C43" s="154"/>
      <c r="D43" s="154"/>
      <c r="E43" s="154"/>
      <c r="F43" s="162"/>
    </row>
    <row r="44" spans="1:6">
      <c r="C44" s="154"/>
      <c r="D44" s="154"/>
      <c r="E44" s="154"/>
      <c r="F44" s="162"/>
    </row>
    <row r="45" spans="1:6">
      <c r="C45" s="154"/>
      <c r="D45" s="154"/>
      <c r="E45" s="154"/>
      <c r="F45" s="162"/>
    </row>
    <row r="46" spans="1:6">
      <c r="C46" s="154"/>
      <c r="D46" s="154"/>
      <c r="E46" s="154"/>
      <c r="F46" s="162"/>
    </row>
    <row r="47" spans="1:6">
      <c r="C47" s="154"/>
      <c r="D47" s="154"/>
      <c r="E47" s="154"/>
      <c r="F47" s="162"/>
    </row>
    <row r="48" spans="1:6">
      <c r="C48" s="154"/>
      <c r="D48" s="154"/>
      <c r="E48" s="154"/>
      <c r="F48" s="162"/>
    </row>
    <row r="49" spans="3:6">
      <c r="C49" s="154"/>
      <c r="D49" s="154"/>
      <c r="E49" s="154"/>
      <c r="F49" s="162"/>
    </row>
    <row r="50" spans="3:6">
      <c r="C50" s="154"/>
      <c r="D50" s="154"/>
      <c r="E50" s="154"/>
      <c r="F50" s="162"/>
    </row>
    <row r="51" spans="3:6">
      <c r="C51" s="154"/>
      <c r="D51" s="154"/>
      <c r="E51" s="154"/>
      <c r="F51" s="162"/>
    </row>
    <row r="52" spans="3:6">
      <c r="C52" s="154"/>
      <c r="D52" s="154"/>
      <c r="E52" s="154"/>
      <c r="F52" s="162"/>
    </row>
    <row r="53" spans="3:6">
      <c r="C53" s="154"/>
      <c r="D53" s="154"/>
      <c r="E53" s="154"/>
      <c r="F53" s="162"/>
    </row>
    <row r="54" spans="3:6">
      <c r="C54" s="154"/>
      <c r="D54" s="154"/>
      <c r="E54" s="154"/>
      <c r="F54" s="162"/>
    </row>
    <row r="55" spans="3:6">
      <c r="C55" s="154"/>
      <c r="D55" s="154"/>
      <c r="E55" s="154"/>
      <c r="F55" s="162"/>
    </row>
    <row r="56" spans="3:6">
      <c r="C56" s="154"/>
      <c r="D56" s="154"/>
      <c r="E56" s="154"/>
      <c r="F56" s="162"/>
    </row>
    <row r="57" spans="3:6">
      <c r="C57" s="154"/>
      <c r="D57" s="154"/>
      <c r="E57" s="154"/>
      <c r="F57" s="162"/>
    </row>
    <row r="58" spans="3:6">
      <c r="C58" s="154"/>
      <c r="D58" s="154"/>
      <c r="E58" s="154"/>
      <c r="F58" s="162"/>
    </row>
    <row r="59" spans="3:6">
      <c r="C59" s="154"/>
      <c r="D59" s="154"/>
      <c r="E59" s="154"/>
      <c r="F59" s="162"/>
    </row>
    <row r="60" spans="3:6">
      <c r="C60" s="154"/>
      <c r="D60" s="154"/>
      <c r="E60" s="154"/>
      <c r="F60" s="162"/>
    </row>
    <row r="61" spans="3:6">
      <c r="C61" s="154"/>
      <c r="D61" s="154"/>
      <c r="E61" s="154"/>
      <c r="F61" s="162"/>
    </row>
    <row r="62" spans="3:6">
      <c r="C62" s="154"/>
      <c r="D62" s="154"/>
      <c r="E62" s="154"/>
      <c r="F62" s="162"/>
    </row>
  </sheetData>
  <pageMargins left="0.7" right="0.7" top="0.75" bottom="0.75" header="0.3" footer="0.3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6"/>
  <dimension ref="A2:BI30"/>
  <sheetViews>
    <sheetView showGridLines="0" zoomScale="85" zoomScaleNormal="85" workbookViewId="0">
      <selection activeCell="A2" sqref="A2"/>
    </sheetView>
  </sheetViews>
  <sheetFormatPr defaultColWidth="9.109375" defaultRowHeight="15.6"/>
  <cols>
    <col min="1" max="1" width="46" style="69" customWidth="1"/>
    <col min="2" max="3" width="18.33203125" style="148" customWidth="1"/>
    <col min="4" max="4" width="18.5546875" style="148" customWidth="1"/>
    <col min="5" max="5" width="18" style="148" customWidth="1"/>
    <col min="6" max="6" width="18" style="149" customWidth="1"/>
    <col min="7" max="31" width="17.88671875" customWidth="1"/>
    <col min="32" max="32" width="18" customWidth="1"/>
    <col min="33" max="33" width="18.33203125" customWidth="1"/>
    <col min="34" max="34" width="17.88671875" customWidth="1"/>
    <col min="35" max="35" width="18.33203125" customWidth="1"/>
    <col min="36" max="36" width="18.109375" customWidth="1"/>
    <col min="37" max="37" width="17.88671875" customWidth="1"/>
    <col min="38" max="38" width="18.109375" customWidth="1"/>
    <col min="39" max="39" width="18.33203125" customWidth="1"/>
    <col min="40" max="40" width="18.44140625" customWidth="1"/>
    <col min="41" max="41" width="18" customWidth="1"/>
    <col min="42" max="42" width="18.109375" customWidth="1"/>
    <col min="43" max="44" width="18" customWidth="1"/>
    <col min="45" max="45" width="18.109375" customWidth="1"/>
    <col min="46" max="46" width="18.33203125" customWidth="1"/>
    <col min="47" max="47" width="17.88671875" customWidth="1"/>
    <col min="48" max="49" width="18.44140625" customWidth="1"/>
    <col min="50" max="52" width="18.109375" customWidth="1"/>
    <col min="53" max="53" width="18.33203125" customWidth="1"/>
    <col min="54" max="54" width="18" customWidth="1"/>
    <col min="55" max="56" width="18.5546875" customWidth="1"/>
    <col min="57" max="58" width="18.33203125" customWidth="1"/>
    <col min="59" max="59" width="18.88671875" customWidth="1"/>
    <col min="60" max="60" width="18.109375" customWidth="1"/>
    <col min="61" max="61" width="18" customWidth="1"/>
    <col min="62" max="16384" width="9.109375" style="69"/>
  </cols>
  <sheetData>
    <row r="2" spans="1:61" s="147" customFormat="1" ht="17.399999999999999">
      <c r="A2" s="85" t="s">
        <v>179</v>
      </c>
      <c r="B2" s="86" t="s">
        <v>1</v>
      </c>
      <c r="C2" s="86" t="s">
        <v>2</v>
      </c>
      <c r="D2" s="86" t="s">
        <v>3</v>
      </c>
      <c r="E2" s="86" t="s">
        <v>4</v>
      </c>
      <c r="F2" s="86" t="s">
        <v>5</v>
      </c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</row>
    <row r="3" spans="1:61">
      <c r="A3" s="87" t="s">
        <v>180</v>
      </c>
      <c r="B3" s="88"/>
      <c r="C3" s="88"/>
      <c r="D3" s="88"/>
      <c r="E3" s="88"/>
      <c r="F3" s="89"/>
    </row>
    <row r="4" spans="1:61">
      <c r="A4" s="90" t="str">
        <f>'Monthly Balance Sheet'!A4</f>
        <v>Metal Fabrication Shop Acquisition</v>
      </c>
      <c r="B4" s="91">
        <f>'Monthly Balance Sheet'!M4</f>
        <v>1940000</v>
      </c>
      <c r="C4" s="91">
        <f>'Monthly Balance Sheet'!Y4</f>
        <v>1880000</v>
      </c>
      <c r="D4" s="91">
        <f>'Monthly Balance Sheet'!AK4</f>
        <v>1820000</v>
      </c>
      <c r="E4" s="91">
        <f>'Monthly Balance Sheet'!AW4</f>
        <v>1760000</v>
      </c>
      <c r="F4" s="91">
        <f>'Monthly Balance Sheet'!BI4</f>
        <v>1700000</v>
      </c>
    </row>
    <row r="5" spans="1:61">
      <c r="A5" s="90" t="str">
        <f>'Monthly Balance Sheet'!A5</f>
        <v>R&amp;D Surveillance System</v>
      </c>
      <c r="B5" s="91">
        <f>'Monthly Balance Sheet'!M5</f>
        <v>1455000</v>
      </c>
      <c r="C5" s="91">
        <f>'Monthly Balance Sheet'!Y5</f>
        <v>1410000</v>
      </c>
      <c r="D5" s="91">
        <f>'Monthly Balance Sheet'!AK5</f>
        <v>1365000</v>
      </c>
      <c r="E5" s="91">
        <f>'Monthly Balance Sheet'!AW5</f>
        <v>1320000</v>
      </c>
      <c r="F5" s="91">
        <f>'Monthly Balance Sheet'!BI5</f>
        <v>1275000</v>
      </c>
    </row>
    <row r="6" spans="1:61">
      <c r="A6" s="90" t="str">
        <f>'Monthly Balance Sheet'!A6</f>
        <v>Shop Upgrades</v>
      </c>
      <c r="B6" s="91">
        <f>'Monthly Balance Sheet'!M6</f>
        <v>921500</v>
      </c>
      <c r="C6" s="91">
        <f>'Monthly Balance Sheet'!Y6</f>
        <v>893000</v>
      </c>
      <c r="D6" s="91">
        <f>'Monthly Balance Sheet'!AK6</f>
        <v>864500</v>
      </c>
      <c r="E6" s="91">
        <f>'Monthly Balance Sheet'!AW6</f>
        <v>836000</v>
      </c>
      <c r="F6" s="91">
        <f>'Monthly Balance Sheet'!BI6</f>
        <v>807500</v>
      </c>
    </row>
    <row r="7" spans="1:61">
      <c r="A7" s="90"/>
      <c r="B7" s="91"/>
      <c r="C7" s="91"/>
      <c r="D7" s="91"/>
      <c r="E7" s="91"/>
      <c r="F7" s="91"/>
    </row>
    <row r="8" spans="1:61">
      <c r="A8" s="92" t="s">
        <v>181</v>
      </c>
      <c r="B8" s="91"/>
      <c r="C8" s="91"/>
      <c r="D8" s="91"/>
      <c r="E8" s="91"/>
      <c r="F8" s="91"/>
    </row>
    <row r="9" spans="1:61">
      <c r="A9" s="90" t="str">
        <f>'Monthly Balance Sheet'!A9</f>
        <v>Cash</v>
      </c>
      <c r="B9" s="91">
        <f>'Monthly Balance Sheet'!M9</f>
        <v>5960166.3200659268</v>
      </c>
      <c r="C9" s="91">
        <f>'Monthly Balance Sheet'!Y9</f>
        <v>8787632.7616350912</v>
      </c>
      <c r="D9" s="91">
        <f>'Monthly Balance Sheet'!AK9</f>
        <v>16769461.767561998</v>
      </c>
      <c r="E9" s="91">
        <f>'Monthly Balance Sheet'!AW9</f>
        <v>31677890.336559795</v>
      </c>
      <c r="F9" s="91">
        <f>'Monthly Balance Sheet'!BI9</f>
        <v>58768417.854708709</v>
      </c>
    </row>
    <row r="10" spans="1:61">
      <c r="A10" s="90" t="str">
        <f>'Monthly Balance Sheet'!A10</f>
        <v>Accounts Receivable</v>
      </c>
      <c r="B10" s="91">
        <f>'Monthly Balance Sheet'!M10</f>
        <v>143227.88812859979</v>
      </c>
      <c r="C10" s="91">
        <f>'Monthly Balance Sheet'!Y10</f>
        <v>571590.71034067706</v>
      </c>
      <c r="D10" s="91">
        <f>'Monthly Balance Sheet'!AK10</f>
        <v>1049771.3189805336</v>
      </c>
      <c r="E10" s="91">
        <f>'Monthly Balance Sheet'!AW10</f>
        <v>1885238.4640677865</v>
      </c>
      <c r="F10" s="91">
        <f>'Monthly Balance Sheet'!BI10</f>
        <v>3385617.4217563798</v>
      </c>
    </row>
    <row r="11" spans="1:61" hidden="1">
      <c r="A11" s="90" t="str">
        <f>'Monthly Balance Sheet'!A11</f>
        <v>Inventory</v>
      </c>
      <c r="B11" s="91" t="e">
        <f>'Monthly Balance Sheet'!M11</f>
        <v>#REF!</v>
      </c>
      <c r="C11" s="91" t="e">
        <f>'Monthly Balance Sheet'!Y11</f>
        <v>#REF!</v>
      </c>
      <c r="D11" s="91" t="e">
        <f>'Monthly Balance Sheet'!AK11</f>
        <v>#REF!</v>
      </c>
      <c r="E11" s="91" t="e">
        <f>'Monthly Balance Sheet'!AW11</f>
        <v>#REF!</v>
      </c>
      <c r="F11" s="91" t="e">
        <f>'Monthly Balance Sheet'!BI11</f>
        <v>#REF!</v>
      </c>
    </row>
    <row r="12" spans="1:61">
      <c r="A12" s="93"/>
      <c r="B12" s="91"/>
      <c r="C12" s="91"/>
      <c r="D12" s="91"/>
      <c r="E12" s="91"/>
      <c r="F12" s="91"/>
    </row>
    <row r="13" spans="1:61">
      <c r="A13" s="94" t="s">
        <v>182</v>
      </c>
      <c r="B13" s="95">
        <f>SUBTOTAL(109,B4:B11)</f>
        <v>10419894.208194526</v>
      </c>
      <c r="C13" s="95">
        <f>SUBTOTAL(109,C4:C11)</f>
        <v>13542223.471975768</v>
      </c>
      <c r="D13" s="95">
        <f>SUBTOTAL(109,D4:D11)</f>
        <v>21868733.086542532</v>
      </c>
      <c r="E13" s="95">
        <f>SUBTOTAL(109,E4:E11)</f>
        <v>37479128.800627582</v>
      </c>
      <c r="F13" s="95">
        <f>SUBTOTAL(109,F4:F11)</f>
        <v>65936535.276465088</v>
      </c>
    </row>
    <row r="14" spans="1:61">
      <c r="A14" s="94" t="str">
        <f>'Monthly Balance Sheet'!A14</f>
        <v>LIABILITIES AND EQUITY:</v>
      </c>
      <c r="B14" s="96"/>
      <c r="C14" s="96"/>
      <c r="D14" s="96"/>
      <c r="E14" s="96"/>
      <c r="F14" s="96"/>
    </row>
    <row r="15" spans="1:61">
      <c r="A15" s="94" t="str">
        <f>'Monthly Balance Sheet'!A15</f>
        <v xml:space="preserve">LIABILITIES </v>
      </c>
      <c r="B15" s="96"/>
      <c r="C15" s="96"/>
      <c r="D15" s="96"/>
      <c r="E15" s="96"/>
      <c r="F15" s="96"/>
    </row>
    <row r="16" spans="1:61" hidden="1">
      <c r="A16" s="90" t="str">
        <f>'Monthly Balance Sheet'!A16</f>
        <v>Accounts Payable</v>
      </c>
      <c r="B16" s="91">
        <f>'Monthly Balance Sheet'!M16</f>
        <v>0</v>
      </c>
      <c r="C16" s="91">
        <f>'Monthly Balance Sheet'!Y16</f>
        <v>0</v>
      </c>
      <c r="D16" s="91">
        <f>'Monthly Balance Sheet'!AK16</f>
        <v>0</v>
      </c>
      <c r="E16" s="91">
        <f>'Monthly Balance Sheet'!AW16</f>
        <v>0</v>
      </c>
      <c r="F16" s="91">
        <f>'Monthly Balance Sheet'!BI16</f>
        <v>0</v>
      </c>
    </row>
    <row r="17" spans="1:6">
      <c r="A17" s="90" t="str">
        <f>'Monthly Balance Sheet'!A17</f>
        <v>Loan</v>
      </c>
      <c r="B17" s="91">
        <f>'Monthly Balance Sheet'!M17</f>
        <v>0</v>
      </c>
      <c r="C17" s="91">
        <f>'Monthly Balance Sheet'!Y17</f>
        <v>0</v>
      </c>
      <c r="D17" s="91">
        <f>'Monthly Balance Sheet'!AK17</f>
        <v>0</v>
      </c>
      <c r="E17" s="91">
        <f>'Monthly Balance Sheet'!AW17</f>
        <v>0</v>
      </c>
      <c r="F17" s="91">
        <f>'Monthly Balance Sheet'!BI17</f>
        <v>0</v>
      </c>
    </row>
    <row r="18" spans="1:6">
      <c r="A18" s="94" t="str">
        <f>'Monthly Balance Sheet'!A18</f>
        <v>Total Liabilities</v>
      </c>
      <c r="B18" s="97">
        <f>SUM(B16:B17)</f>
        <v>0</v>
      </c>
      <c r="C18" s="97">
        <f t="shared" ref="C18:F18" si="0">SUM(C16:C17)</f>
        <v>0</v>
      </c>
      <c r="D18" s="97">
        <f t="shared" si="0"/>
        <v>0</v>
      </c>
      <c r="E18" s="97">
        <f t="shared" si="0"/>
        <v>0</v>
      </c>
      <c r="F18" s="97">
        <f t="shared" si="0"/>
        <v>0</v>
      </c>
    </row>
    <row r="19" spans="1:6">
      <c r="A19" s="94" t="str">
        <f>'Monthly Balance Sheet'!A19</f>
        <v>EQUITY</v>
      </c>
      <c r="B19" s="91"/>
      <c r="C19" s="91"/>
      <c r="D19" s="91"/>
      <c r="E19" s="91"/>
      <c r="F19" s="91"/>
    </row>
    <row r="20" spans="1:6">
      <c r="A20" s="90" t="str">
        <f>'Monthly Balance Sheet'!A20</f>
        <v>Capital</v>
      </c>
      <c r="B20" s="91">
        <f>'Monthly Balance Sheet'!M20</f>
        <v>10000000</v>
      </c>
      <c r="C20" s="91">
        <f>'Monthly Balance Sheet'!Y20</f>
        <v>10000000</v>
      </c>
      <c r="D20" s="91">
        <f>'Monthly Balance Sheet'!AK20</f>
        <v>10000000</v>
      </c>
      <c r="E20" s="91">
        <f>'Monthly Balance Sheet'!AW20</f>
        <v>10000000</v>
      </c>
      <c r="F20" s="91">
        <f>'Monthly Balance Sheet'!BI20</f>
        <v>10000000</v>
      </c>
    </row>
    <row r="21" spans="1:6">
      <c r="A21" s="93" t="str">
        <f>'Monthly Balance Sheet'!A21</f>
        <v>Retained Earnings</v>
      </c>
      <c r="B21" s="91">
        <v>0</v>
      </c>
      <c r="C21" s="91">
        <f>+B21+B22</f>
        <v>419894.20819452702</v>
      </c>
      <c r="D21" s="91">
        <f t="shared" ref="D21:F21" si="1">+C21+C22</f>
        <v>3542223.4719757726</v>
      </c>
      <c r="E21" s="91">
        <f t="shared" si="1"/>
        <v>11868733.086542528</v>
      </c>
      <c r="F21" s="91">
        <f t="shared" si="1"/>
        <v>27479128.800627582</v>
      </c>
    </row>
    <row r="22" spans="1:6">
      <c r="A22" s="93" t="str">
        <f>'Monthly Balance Sheet'!A22</f>
        <v>Profit or loss balance</v>
      </c>
      <c r="B22" s="91">
        <f>+'Income Statement'!B31</f>
        <v>419894.20819452702</v>
      </c>
      <c r="C22" s="91">
        <f>+'Income Statement'!C31</f>
        <v>3122329.2637812458</v>
      </c>
      <c r="D22" s="91">
        <f>+'Income Statement'!D31</f>
        <v>8326509.6145667545</v>
      </c>
      <c r="E22" s="91">
        <f>+'Income Statement'!E31</f>
        <v>15610395.714085052</v>
      </c>
      <c r="F22" s="91">
        <f>+'Income Statement'!F31</f>
        <v>28457406.475837495</v>
      </c>
    </row>
    <row r="23" spans="1:6">
      <c r="A23" s="93"/>
      <c r="B23" s="91"/>
      <c r="C23" s="91"/>
      <c r="D23" s="91"/>
      <c r="E23" s="91"/>
      <c r="F23" s="91"/>
    </row>
    <row r="24" spans="1:6">
      <c r="A24" s="94" t="str">
        <f>'Monthly Balance Sheet'!A23</f>
        <v>TOTAL EQUITY</v>
      </c>
      <c r="B24" s="97">
        <f>SUM(B20:B22)</f>
        <v>10419894.208194528</v>
      </c>
      <c r="C24" s="97">
        <f t="shared" ref="C24:F24" si="2">SUM(C20:C22)</f>
        <v>13542223.471975774</v>
      </c>
      <c r="D24" s="97">
        <f t="shared" si="2"/>
        <v>21868733.086542528</v>
      </c>
      <c r="E24" s="97">
        <f t="shared" si="2"/>
        <v>37479128.800627582</v>
      </c>
      <c r="F24" s="97">
        <f t="shared" si="2"/>
        <v>65936535.276465073</v>
      </c>
    </row>
    <row r="25" spans="1:6">
      <c r="A25" s="94" t="str">
        <f>'Monthly Balance Sheet'!A25</f>
        <v>TOTAL LIABILITIES AND EQUITY</v>
      </c>
      <c r="B25" s="95">
        <f>B24+B18</f>
        <v>10419894.208194528</v>
      </c>
      <c r="C25" s="95">
        <f>C24+C18</f>
        <v>13542223.471975774</v>
      </c>
      <c r="D25" s="95">
        <f>D24+D18</f>
        <v>21868733.086542528</v>
      </c>
      <c r="E25" s="95">
        <f>E24+E18</f>
        <v>37479128.800627582</v>
      </c>
      <c r="F25" s="95">
        <f>F24+F18</f>
        <v>65936535.276465073</v>
      </c>
    </row>
    <row r="26" spans="1:6">
      <c r="B26" s="98"/>
      <c r="C26" s="98"/>
      <c r="D26" s="98"/>
      <c r="E26" s="98"/>
      <c r="F26" s="98"/>
    </row>
    <row r="27" spans="1:6">
      <c r="B27" s="99">
        <f>B13-B25</f>
        <v>0</v>
      </c>
      <c r="C27" s="99">
        <f>C13-C25</f>
        <v>0</v>
      </c>
      <c r="D27" s="99">
        <f>D13-D25</f>
        <v>0</v>
      </c>
      <c r="E27" s="99">
        <f>E13-E25</f>
        <v>0</v>
      </c>
      <c r="F27" s="99">
        <f>F13-F25</f>
        <v>0</v>
      </c>
    </row>
    <row r="28" spans="1:6">
      <c r="B28" s="113"/>
      <c r="C28" s="113"/>
      <c r="D28" s="113"/>
      <c r="E28" s="113"/>
      <c r="F28" s="150"/>
    </row>
    <row r="29" spans="1:6">
      <c r="A29" s="83"/>
      <c r="B29" s="113"/>
      <c r="C29" s="113"/>
      <c r="D29" s="113"/>
      <c r="E29" s="113"/>
      <c r="F29" s="150"/>
    </row>
    <row r="30" spans="1:6">
      <c r="B30" s="113"/>
      <c r="C30" s="113"/>
      <c r="D30" s="113"/>
      <c r="E30" s="113"/>
      <c r="F30" s="150"/>
    </row>
  </sheetData>
  <pageMargins left="0.7" right="0.7" top="0.75" bottom="0.75" header="0.3" footer="0.3"/>
  <pageSetup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8"/>
  <dimension ref="A2:H17"/>
  <sheetViews>
    <sheetView zoomScale="85" zoomScaleNormal="85" workbookViewId="0">
      <selection activeCell="A2" sqref="A2"/>
    </sheetView>
  </sheetViews>
  <sheetFormatPr defaultColWidth="9.109375" defaultRowHeight="15.6"/>
  <cols>
    <col min="1" max="1" width="44.109375" style="128" customWidth="1"/>
    <col min="2" max="5" width="14.88671875" style="129" customWidth="1"/>
    <col min="6" max="6" width="14.88671875" style="128" customWidth="1"/>
    <col min="7" max="7" width="9.6640625" style="128" customWidth="1"/>
    <col min="8" max="16384" width="9.109375" style="128"/>
  </cols>
  <sheetData>
    <row r="2" spans="1:8" s="126" customFormat="1" ht="17.399999999999999">
      <c r="A2" s="130" t="s">
        <v>0</v>
      </c>
      <c r="B2" s="86" t="s">
        <v>1</v>
      </c>
      <c r="C2" s="86" t="s">
        <v>2</v>
      </c>
      <c r="D2" s="86" t="s">
        <v>3</v>
      </c>
      <c r="E2" s="86" t="s">
        <v>4</v>
      </c>
      <c r="F2" s="86" t="s">
        <v>5</v>
      </c>
    </row>
    <row r="3" spans="1:8">
      <c r="A3" s="131" t="s">
        <v>183</v>
      </c>
      <c r="B3" s="91">
        <f>'Income Statement'!B3</f>
        <v>3725407.7599040661</v>
      </c>
      <c r="C3" s="91">
        <f>'Income Statement'!C3</f>
        <v>11220280.877145521</v>
      </c>
      <c r="D3" s="91">
        <f>'Income Statement'!D3</f>
        <v>25019724.549606074</v>
      </c>
      <c r="E3" s="91">
        <f>'Income Statement'!E3</f>
        <v>44931830.607741259</v>
      </c>
      <c r="F3" s="91">
        <f>'Income Statement'!F3</f>
        <v>80691112.236666903</v>
      </c>
    </row>
    <row r="4" spans="1:8">
      <c r="A4" s="132" t="s">
        <v>184</v>
      </c>
      <c r="B4" s="91">
        <f>SUM('Income Statement'!B21,'Income Statement'!B29)</f>
        <v>111617.44774791233</v>
      </c>
      <c r="C4" s="91">
        <f>SUM('Income Statement'!C21,'Income Statement'!C29)</f>
        <v>829986.25999248319</v>
      </c>
      <c r="D4" s="91">
        <f>SUM('Income Statement'!D21,'Income Statement'!D29)</f>
        <v>2213375.9734924291</v>
      </c>
      <c r="E4" s="91">
        <f>SUM('Income Statement'!E21,'Income Statement'!E29)</f>
        <v>4149598.8607061519</v>
      </c>
      <c r="F4" s="91">
        <f>SUM('Income Statement'!F21,'Income Statement'!F29)</f>
        <v>7564627.0378808556</v>
      </c>
    </row>
    <row r="5" spans="1:8">
      <c r="A5" s="132"/>
      <c r="B5" s="133"/>
      <c r="C5" s="133"/>
      <c r="D5" s="133"/>
      <c r="E5" s="133"/>
      <c r="F5" s="133"/>
    </row>
    <row r="6" spans="1:8">
      <c r="A6" s="134" t="s">
        <v>185</v>
      </c>
      <c r="B6" s="97">
        <f>B3-B4</f>
        <v>3613790.3121561538</v>
      </c>
      <c r="C6" s="97">
        <f t="shared" ref="C6:F6" si="0">C3-C4</f>
        <v>10390294.617153037</v>
      </c>
      <c r="D6" s="97">
        <f t="shared" si="0"/>
        <v>22806348.576113645</v>
      </c>
      <c r="E6" s="97">
        <f t="shared" si="0"/>
        <v>40782231.747035109</v>
      </c>
      <c r="F6" s="97">
        <f t="shared" si="0"/>
        <v>73126485.19878605</v>
      </c>
    </row>
    <row r="7" spans="1:8">
      <c r="A7" s="132" t="s">
        <v>186</v>
      </c>
      <c r="B7" s="135">
        <f>IFERROR(B6/B3,"")</f>
        <v>0.97003886421528618</v>
      </c>
      <c r="C7" s="135">
        <f t="shared" ref="C7:F7" si="1">IFERROR(C6/C3,"")</f>
        <v>0.92602803182199522</v>
      </c>
      <c r="D7" s="135">
        <f t="shared" si="1"/>
        <v>0.91153475854204491</v>
      </c>
      <c r="E7" s="135">
        <f t="shared" si="1"/>
        <v>0.90764678837743107</v>
      </c>
      <c r="F7" s="135">
        <f t="shared" si="1"/>
        <v>0.90625204154214889</v>
      </c>
      <c r="H7" s="136"/>
    </row>
    <row r="8" spans="1:8">
      <c r="A8" s="132"/>
      <c r="B8" s="137"/>
      <c r="C8" s="137"/>
      <c r="D8" s="137"/>
      <c r="E8" s="137"/>
      <c r="F8" s="137"/>
    </row>
    <row r="9" spans="1:8">
      <c r="A9" s="138" t="s">
        <v>187</v>
      </c>
      <c r="B9" s="137"/>
      <c r="C9" s="137"/>
      <c r="D9" s="137"/>
      <c r="E9" s="137"/>
      <c r="F9" s="137"/>
      <c r="G9" s="139"/>
    </row>
    <row r="10" spans="1:8">
      <c r="A10" s="140" t="s">
        <v>188</v>
      </c>
      <c r="B10" s="91">
        <f>SUM('Income Statement'!B5:B13,'Income Statement'!B25)</f>
        <v>4376534.7423290089</v>
      </c>
      <c r="C10" s="91">
        <f>SUM('Income Statement'!C5:C13,'Income Statement'!C25)</f>
        <v>9845646.663240768</v>
      </c>
      <c r="D10" s="91">
        <f>SUM('Income Statement'!D5:D13,'Income Statement'!D25)</f>
        <v>20266340.780004036</v>
      </c>
      <c r="E10" s="91">
        <f>SUM('Income Statement'!E5:E13,'Income Statement'!E25)</f>
        <v>35494969.654708311</v>
      </c>
      <c r="F10" s="91">
        <f>SUM('Income Statement'!F5:F13,'Income Statement'!F25)</f>
        <v>63070758.993041717</v>
      </c>
      <c r="G10" s="141"/>
      <c r="H10" s="139"/>
    </row>
    <row r="11" spans="1:8">
      <c r="A11" s="140"/>
      <c r="B11" s="91"/>
      <c r="C11" s="91"/>
      <c r="D11" s="91"/>
      <c r="E11" s="91"/>
      <c r="F11" s="91"/>
      <c r="G11" s="141"/>
      <c r="H11" s="139"/>
    </row>
    <row r="12" spans="1:8">
      <c r="A12" s="142" t="s">
        <v>189</v>
      </c>
      <c r="B12" s="97">
        <f>SUM(B10:B11)</f>
        <v>4376534.7423290089</v>
      </c>
      <c r="C12" s="97">
        <f>SUM(C10:C11)</f>
        <v>9845646.663240768</v>
      </c>
      <c r="D12" s="97">
        <f>SUM(D10:D11)</f>
        <v>20266340.780004036</v>
      </c>
      <c r="E12" s="97">
        <f>SUM(E10:E11)</f>
        <v>35494969.654708311</v>
      </c>
      <c r="F12" s="97">
        <f>SUM(F10:F11)</f>
        <v>63070758.993041717</v>
      </c>
      <c r="G12" s="141"/>
      <c r="H12" s="139"/>
    </row>
    <row r="13" spans="1:8" s="127" customFormat="1">
      <c r="A13" s="132"/>
      <c r="B13" s="91"/>
      <c r="C13" s="91"/>
      <c r="D13" s="91"/>
      <c r="E13" s="91"/>
      <c r="F13" s="91"/>
      <c r="G13" s="143"/>
      <c r="H13" s="144"/>
    </row>
    <row r="14" spans="1:8">
      <c r="A14" s="134" t="s">
        <v>190</v>
      </c>
      <c r="B14" s="95">
        <f>B12/B7</f>
        <v>4511710.7198270978</v>
      </c>
      <c r="C14" s="95">
        <f>C12/C7</f>
        <v>10632125.945333518</v>
      </c>
      <c r="D14" s="95">
        <f>D12/D7</f>
        <v>22233206.786781289</v>
      </c>
      <c r="E14" s="95">
        <f>E12/E7</f>
        <v>39106588.718461119</v>
      </c>
      <c r="F14" s="95">
        <f>F12/F7</f>
        <v>69595163.488642305</v>
      </c>
      <c r="G14" s="141"/>
      <c r="H14" s="139"/>
    </row>
    <row r="15" spans="1:8">
      <c r="B15" s="145"/>
      <c r="C15" s="145"/>
      <c r="D15" s="145"/>
      <c r="E15" s="145"/>
      <c r="F15" s="141"/>
      <c r="G15" s="141"/>
      <c r="H15" s="139"/>
    </row>
    <row r="16" spans="1:8">
      <c r="F16" s="139"/>
      <c r="G16" s="139"/>
    </row>
    <row r="17" spans="2:2">
      <c r="B17" s="146"/>
    </row>
  </sheetData>
  <pageMargins left="0.7" right="0.7" top="0.75" bottom="0.75" header="0.3" footer="0.3"/>
  <pageSetup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7"/>
  <dimension ref="A2:H33"/>
  <sheetViews>
    <sheetView showGridLines="0" zoomScale="85" zoomScaleNormal="85" workbookViewId="0">
      <selection activeCell="A2" sqref="A2"/>
    </sheetView>
  </sheetViews>
  <sheetFormatPr defaultColWidth="9.109375" defaultRowHeight="15.6"/>
  <cols>
    <col min="1" max="1" width="45.5546875" style="69" customWidth="1"/>
    <col min="2" max="2" width="17.6640625" style="113" customWidth="1"/>
    <col min="3" max="3" width="17.44140625" style="114" customWidth="1"/>
    <col min="4" max="4" width="18" style="114" customWidth="1"/>
    <col min="5" max="5" width="18.5546875" style="114" customWidth="1"/>
    <col min="6" max="6" width="18.6640625" style="69" customWidth="1"/>
    <col min="7" max="7" width="9.109375" style="69"/>
    <col min="8" max="8" width="14.6640625" style="69" customWidth="1"/>
    <col min="9" max="16384" width="9.109375" style="69"/>
  </cols>
  <sheetData>
    <row r="2" spans="1:8" s="112" customFormat="1" ht="17.399999999999999">
      <c r="A2" s="115" t="s">
        <v>0</v>
      </c>
      <c r="B2" s="116" t="s">
        <v>1</v>
      </c>
      <c r="C2" s="116" t="s">
        <v>2</v>
      </c>
      <c r="D2" s="116" t="s">
        <v>3</v>
      </c>
      <c r="E2" s="116" t="s">
        <v>4</v>
      </c>
      <c r="F2" s="116" t="s">
        <v>5</v>
      </c>
    </row>
    <row r="3" spans="1:8">
      <c r="A3" s="103" t="s">
        <v>191</v>
      </c>
      <c r="B3" s="117"/>
      <c r="C3" s="117"/>
      <c r="D3" s="117"/>
      <c r="E3" s="117"/>
      <c r="F3" s="118"/>
    </row>
    <row r="4" spans="1:8">
      <c r="A4" s="104" t="s">
        <v>192</v>
      </c>
      <c r="B4" s="119">
        <f>SUM('Monthly Cash Flows'!B4:M4)</f>
        <v>3582179.8717754665</v>
      </c>
      <c r="C4" s="119">
        <f>SUM('Monthly Cash Flows'!N4:Y4)</f>
        <v>10791918.054933444</v>
      </c>
      <c r="D4" s="119">
        <f>SUM('Monthly Cash Flows'!Z4:AK4)</f>
        <v>24541543.940966222</v>
      </c>
      <c r="E4" s="119">
        <f>SUM('Monthly Cash Flows'!AL4:AW4)</f>
        <v>44096363.462654002</v>
      </c>
      <c r="F4" s="119">
        <f>SUM('Monthly Cash Flows'!AX4:BI4)</f>
        <v>79190733.278978303</v>
      </c>
      <c r="G4" s="81"/>
      <c r="H4" s="100"/>
    </row>
    <row r="5" spans="1:8">
      <c r="A5" s="104" t="str">
        <f>'Monthly Cash Flows'!A5</f>
        <v>Loan Proceeds / Capital Injection</v>
      </c>
      <c r="B5" s="119">
        <f>SUM('Monthly Cash Flows'!B5:M5)</f>
        <v>10000000</v>
      </c>
      <c r="C5" s="119">
        <f>SUM('Monthly Cash Flows'!N5:Y5)</f>
        <v>0</v>
      </c>
      <c r="D5" s="119">
        <f>SUM('Monthly Cash Flows'!Z5:AK5)</f>
        <v>0</v>
      </c>
      <c r="E5" s="119">
        <f>SUM('Monthly Cash Flows'!AL5:AW5)</f>
        <v>0</v>
      </c>
      <c r="F5" s="119">
        <f>SUM('Monthly Cash Flows'!AX5:BI5)</f>
        <v>0</v>
      </c>
      <c r="G5" s="81"/>
      <c r="H5" s="100"/>
    </row>
    <row r="6" spans="1:8">
      <c r="A6" s="103" t="s">
        <v>193</v>
      </c>
      <c r="B6" s="97">
        <f>SUM(B4:B5)</f>
        <v>13582179.871775467</v>
      </c>
      <c r="C6" s="97">
        <f t="shared" ref="C6:F6" si="0">SUM(C4:C5)</f>
        <v>10791918.054933444</v>
      </c>
      <c r="D6" s="97">
        <f t="shared" si="0"/>
        <v>24541543.940966222</v>
      </c>
      <c r="E6" s="97">
        <f t="shared" si="0"/>
        <v>44096363.462654002</v>
      </c>
      <c r="F6" s="97">
        <f t="shared" si="0"/>
        <v>79190733.278978303</v>
      </c>
      <c r="G6" s="81"/>
      <c r="H6" s="100"/>
    </row>
    <row r="7" spans="1:8">
      <c r="A7" s="103"/>
      <c r="B7" s="97"/>
      <c r="C7" s="97"/>
      <c r="D7" s="97"/>
      <c r="E7" s="97"/>
      <c r="F7" s="97"/>
      <c r="G7" s="81"/>
      <c r="H7" s="100"/>
    </row>
    <row r="8" spans="1:8">
      <c r="A8" s="103" t="s">
        <v>194</v>
      </c>
      <c r="B8" s="91"/>
      <c r="C8" s="91"/>
      <c r="D8" s="91"/>
      <c r="E8" s="91"/>
      <c r="F8" s="91"/>
      <c r="G8" s="81"/>
      <c r="H8" s="100"/>
    </row>
    <row r="9" spans="1:8">
      <c r="A9" s="105" t="str">
        <f>'Monthly Cash Flows'!A9</f>
        <v>Payroll</v>
      </c>
      <c r="B9" s="119">
        <f>SUM('Monthly Cash Flows'!B9:M9)</f>
        <v>951033</v>
      </c>
      <c r="C9" s="119">
        <f>SUM('Monthly Cash Flows'!N9:Y9)</f>
        <v>1059585.9083333337</v>
      </c>
      <c r="D9" s="119">
        <f>SUM('Monthly Cash Flows'!Z9:AK9)</f>
        <v>1233854.0775000001</v>
      </c>
      <c r="E9" s="119">
        <f>SUM('Monthly Cash Flows'!AL9:AW9)</f>
        <v>1297355.8134166666</v>
      </c>
      <c r="F9" s="119">
        <f>SUM('Monthly Cash Flows'!AX9:BI9)</f>
        <v>1363187.1915750001</v>
      </c>
      <c r="G9" s="81"/>
      <c r="H9" s="100"/>
    </row>
    <row r="10" spans="1:8" ht="12" customHeight="1">
      <c r="A10" s="105" t="str">
        <f>'Monthly Cash Flows'!A10</f>
        <v>Rent &amp; Utilities</v>
      </c>
      <c r="B10" s="119">
        <f>SUM('Monthly Cash Flows'!B10:M10)</f>
        <v>192000</v>
      </c>
      <c r="C10" s="119">
        <f>SUM('Monthly Cash Flows'!N10:Y10)</f>
        <v>197760</v>
      </c>
      <c r="D10" s="119">
        <f>SUM('Monthly Cash Flows'!Z10:AK10)</f>
        <v>203692.79999999996</v>
      </c>
      <c r="E10" s="119">
        <f>SUM('Monthly Cash Flows'!AL10:AW10)</f>
        <v>209803.58400000006</v>
      </c>
      <c r="F10" s="119">
        <f>SUM('Monthly Cash Flows'!AX10:BI10)</f>
        <v>216097.69151999996</v>
      </c>
      <c r="G10" s="81"/>
      <c r="H10" s="100"/>
    </row>
    <row r="11" spans="1:8">
      <c r="A11" s="105" t="str">
        <f>'Monthly Cash Flows'!A11</f>
        <v>Regulatory &amp; Compliance</v>
      </c>
      <c r="B11" s="119">
        <f>SUM('Monthly Cash Flows'!B11:M11)</f>
        <v>109200</v>
      </c>
      <c r="C11" s="119">
        <f>SUM('Monthly Cash Flows'!N11:Y11)</f>
        <v>218400</v>
      </c>
      <c r="D11" s="119">
        <f>SUM('Monthly Cash Flows'!Z11:AK11)</f>
        <v>436800</v>
      </c>
      <c r="E11" s="119">
        <f>SUM('Monthly Cash Flows'!AL11:AW11)</f>
        <v>873600</v>
      </c>
      <c r="F11" s="119">
        <f>SUM('Monthly Cash Flows'!AX11:BI11)</f>
        <v>1747200</v>
      </c>
      <c r="G11" s="81"/>
      <c r="H11" s="100"/>
    </row>
    <row r="12" spans="1:8">
      <c r="A12" s="105" t="str">
        <f>'Monthly Cash Flows'!A12</f>
        <v>Maintenance &amp; Equipment Upkeep</v>
      </c>
      <c r="B12" s="119">
        <f>SUM('Monthly Cash Flows'!B12:M12)</f>
        <v>138000</v>
      </c>
      <c r="C12" s="119">
        <f>SUM('Monthly Cash Flows'!N12:Y12)</f>
        <v>276000</v>
      </c>
      <c r="D12" s="119">
        <f>SUM('Monthly Cash Flows'!Z12:AK12)</f>
        <v>552000</v>
      </c>
      <c r="E12" s="119">
        <f>SUM('Monthly Cash Flows'!AL12:AW12)</f>
        <v>1104000</v>
      </c>
      <c r="F12" s="119">
        <f>SUM('Monthly Cash Flows'!AX12:BI12)</f>
        <v>2208000</v>
      </c>
      <c r="G12" s="81"/>
      <c r="H12" s="100"/>
    </row>
    <row r="13" spans="1:8">
      <c r="A13" s="105" t="str">
        <f>'Monthly Cash Flows'!A13</f>
        <v>Insurance &amp; Security</v>
      </c>
      <c r="B13" s="119">
        <f>SUM('Monthly Cash Flows'!B13:M13)</f>
        <v>96000</v>
      </c>
      <c r="C13" s="119">
        <f>SUM('Monthly Cash Flows'!N13:Y13)</f>
        <v>192000</v>
      </c>
      <c r="D13" s="119">
        <f>SUM('Monthly Cash Flows'!Z13:AK13)</f>
        <v>384000</v>
      </c>
      <c r="E13" s="119">
        <f>SUM('Monthly Cash Flows'!AL13:AW13)</f>
        <v>768000</v>
      </c>
      <c r="F13" s="119">
        <f>SUM('Monthly Cash Flows'!AX13:BI13)</f>
        <v>1536000</v>
      </c>
      <c r="G13" s="81"/>
      <c r="H13" s="100"/>
    </row>
    <row r="14" spans="1:8">
      <c r="A14" s="105" t="str">
        <f>'Monthly Cash Flows'!A14</f>
        <v>Marketing &amp; Advertising</v>
      </c>
      <c r="B14" s="119">
        <f>SUM('Monthly Cash Flows'!B14:M14)</f>
        <v>260778.54319328463</v>
      </c>
      <c r="C14" s="119">
        <f>SUM('Monthly Cash Flows'!N14:Y14)</f>
        <v>785419.6614001866</v>
      </c>
      <c r="D14" s="119">
        <f>SUM('Monthly Cash Flows'!Z14:AK14)</f>
        <v>1751380.7184724254</v>
      </c>
      <c r="E14" s="119">
        <f>SUM('Monthly Cash Flows'!AL14:AW14)</f>
        <v>3145228.1425418886</v>
      </c>
      <c r="F14" s="119">
        <f>SUM('Monthly Cash Flows'!AX14:BI14)</f>
        <v>5648377.8565666834</v>
      </c>
      <c r="G14" s="81"/>
      <c r="H14" s="100"/>
    </row>
    <row r="15" spans="1:8">
      <c r="A15" s="105" t="str">
        <f>'Monthly Cash Flows'!A15</f>
        <v>R&amp;D &amp; Prototyping</v>
      </c>
      <c r="B15" s="119">
        <f>SUM('Monthly Cash Flows'!B15:M15)</f>
        <v>66000</v>
      </c>
      <c r="C15" s="119">
        <f>SUM('Monthly Cash Flows'!N15:Y15)</f>
        <v>132000</v>
      </c>
      <c r="D15" s="119">
        <f>SUM('Monthly Cash Flows'!Z15:AK15)</f>
        <v>264000</v>
      </c>
      <c r="E15" s="119">
        <f>SUM('Monthly Cash Flows'!AL15:AW15)</f>
        <v>528000</v>
      </c>
      <c r="F15" s="119">
        <f>SUM('Monthly Cash Flows'!AX15:BI15)</f>
        <v>1056000</v>
      </c>
      <c r="G15" s="81"/>
      <c r="H15" s="100"/>
    </row>
    <row r="16" spans="1:8">
      <c r="A16" s="105" t="str">
        <f>'Monthly Cash Flows'!A16</f>
        <v>Miscellaneous Expenses</v>
      </c>
      <c r="B16" s="119">
        <f>SUM('Monthly Cash Flows'!B16:M16)</f>
        <v>18000</v>
      </c>
      <c r="C16" s="119">
        <f>SUM('Monthly Cash Flows'!N16:Y16)</f>
        <v>36000</v>
      </c>
      <c r="D16" s="119">
        <f>SUM('Monthly Cash Flows'!Z16:AK16)</f>
        <v>72000</v>
      </c>
      <c r="E16" s="119">
        <f>SUM('Monthly Cash Flows'!AL16:AW16)</f>
        <v>144000</v>
      </c>
      <c r="F16" s="119">
        <f>SUM('Monthly Cash Flows'!AX16:BI16)</f>
        <v>288000</v>
      </c>
      <c r="G16" s="81"/>
      <c r="H16" s="100"/>
    </row>
    <row r="17" spans="1:8">
      <c r="A17" s="105" t="str">
        <f>'Monthly Cash Flows'!A17</f>
        <v>Tax</v>
      </c>
      <c r="B17" s="119">
        <f>SUM('Monthly Cash Flows'!B17:M17)</f>
        <v>111617.44774791233</v>
      </c>
      <c r="C17" s="119">
        <f>SUM('Monthly Cash Flows'!N17:Y17)</f>
        <v>829986.25999248319</v>
      </c>
      <c r="D17" s="119">
        <f>SUM('Monthly Cash Flows'!Z17:AK17)</f>
        <v>2213375.9734924291</v>
      </c>
      <c r="E17" s="119">
        <f>SUM('Monthly Cash Flows'!AL17:AW17)</f>
        <v>4149598.8607061519</v>
      </c>
      <c r="F17" s="119">
        <f>SUM('Monthly Cash Flows'!AX17:BI17)</f>
        <v>7564627.0378808556</v>
      </c>
      <c r="G17" s="81"/>
      <c r="H17" s="100"/>
    </row>
    <row r="18" spans="1:8">
      <c r="A18" s="105" t="str">
        <f>'Monthly Cash Flows'!A18</f>
        <v>Purchase of Assets</v>
      </c>
      <c r="B18" s="119">
        <f>SUM('Monthly Cash Flows'!B18:M18)</f>
        <v>4450000</v>
      </c>
      <c r="C18" s="119">
        <f>SUM('Monthly Cash Flows'!N18:Y18)</f>
        <v>0</v>
      </c>
      <c r="D18" s="119">
        <f>SUM('Monthly Cash Flows'!Z18:AK18)</f>
        <v>0</v>
      </c>
      <c r="E18" s="119">
        <f>SUM('Monthly Cash Flows'!AL18:AW18)</f>
        <v>0</v>
      </c>
      <c r="F18" s="119">
        <f>SUM('Monthly Cash Flows'!AX18:BI18)</f>
        <v>0</v>
      </c>
      <c r="G18" s="81"/>
      <c r="H18" s="100"/>
    </row>
    <row r="19" spans="1:8">
      <c r="A19" s="105" t="str">
        <f>'Monthly Cash Flows'!A19</f>
        <v>Loan Repayment</v>
      </c>
      <c r="B19" s="119">
        <f>SUM('Monthly Cash Flows'!B19:M19)</f>
        <v>0</v>
      </c>
      <c r="C19" s="119">
        <f>SUM('Monthly Cash Flows'!N19:Y19)</f>
        <v>0</v>
      </c>
      <c r="D19" s="119">
        <f>SUM('Monthly Cash Flows'!Z19:AK19)</f>
        <v>0</v>
      </c>
      <c r="E19" s="119">
        <f>SUM('Monthly Cash Flows'!AL19:AW19)</f>
        <v>0</v>
      </c>
      <c r="F19" s="119">
        <f>SUM('Monthly Cash Flows'!AX19:BI19)</f>
        <v>0</v>
      </c>
      <c r="G19" s="81"/>
      <c r="H19" s="100"/>
    </row>
    <row r="20" spans="1:8">
      <c r="A20" s="105" t="str">
        <f>'Monthly Cash Flows'!A20</f>
        <v>Cash Paid For Cogs</v>
      </c>
      <c r="B20" s="119">
        <f>SUM('Monthly Cash Flows'!B20:M20)</f>
        <v>1229384.5607683416</v>
      </c>
      <c r="C20" s="119">
        <f>SUM('Monthly Cash Flows'!N20:Y20)</f>
        <v>4237299.7836382724</v>
      </c>
      <c r="D20" s="119">
        <f>SUM('Monthly Cash Flows'!Z20:AK20)</f>
        <v>9448611.3655744642</v>
      </c>
      <c r="E20" s="119">
        <f>SUM('Monthly Cash Flows'!AL20:AW20)</f>
        <v>16968348.4929915</v>
      </c>
      <c r="F20" s="119">
        <f>SUM('Monthly Cash Flows'!AX20:BI20)</f>
        <v>30472715.983286858</v>
      </c>
      <c r="G20" s="81"/>
      <c r="H20" s="100"/>
    </row>
    <row r="21" spans="1:8">
      <c r="A21" s="105"/>
      <c r="B21" s="119"/>
      <c r="C21" s="119"/>
      <c r="D21" s="119"/>
      <c r="E21" s="119"/>
      <c r="F21" s="119"/>
      <c r="G21" s="81"/>
      <c r="H21" s="100"/>
    </row>
    <row r="22" spans="1:8">
      <c r="A22" s="120" t="s">
        <v>195</v>
      </c>
      <c r="B22" s="121">
        <f>SUM(B9:B20)</f>
        <v>7622013.5517095383</v>
      </c>
      <c r="C22" s="121">
        <f t="shared" ref="C22:F22" si="1">SUM(C9:C20)</f>
        <v>7964451.6133642755</v>
      </c>
      <c r="D22" s="121">
        <f t="shared" si="1"/>
        <v>16559714.935039319</v>
      </c>
      <c r="E22" s="121">
        <f t="shared" si="1"/>
        <v>29187934.893656209</v>
      </c>
      <c r="F22" s="121">
        <f t="shared" si="1"/>
        <v>52100205.760829397</v>
      </c>
      <c r="G22" s="81"/>
      <c r="H22" s="100"/>
    </row>
    <row r="23" spans="1:8">
      <c r="A23" s="120"/>
      <c r="B23" s="121"/>
      <c r="C23" s="121"/>
      <c r="D23" s="121"/>
      <c r="E23" s="121"/>
      <c r="F23" s="121"/>
      <c r="G23" s="81"/>
      <c r="H23" s="100"/>
    </row>
    <row r="24" spans="1:8">
      <c r="A24" s="105" t="s">
        <v>196</v>
      </c>
      <c r="B24" s="122">
        <f>B6-B22</f>
        <v>5960166.3200659286</v>
      </c>
      <c r="C24" s="122">
        <f>C6-C22</f>
        <v>2827466.4415691681</v>
      </c>
      <c r="D24" s="122">
        <f>D6-D22</f>
        <v>7981829.0059269033</v>
      </c>
      <c r="E24" s="122">
        <f>E6-E22</f>
        <v>14908428.568997793</v>
      </c>
      <c r="F24" s="122">
        <f>F6-F22</f>
        <v>27090527.518148907</v>
      </c>
      <c r="G24" s="81"/>
      <c r="H24" s="100"/>
    </row>
    <row r="25" spans="1:8">
      <c r="A25" s="105"/>
      <c r="B25" s="122"/>
      <c r="C25" s="122"/>
      <c r="D25" s="122"/>
      <c r="E25" s="122"/>
      <c r="F25" s="122"/>
      <c r="G25" s="81"/>
      <c r="H25" s="100"/>
    </row>
    <row r="26" spans="1:8">
      <c r="A26" s="105" t="s">
        <v>197</v>
      </c>
      <c r="B26" s="91">
        <v>0</v>
      </c>
      <c r="C26" s="91">
        <f>B27</f>
        <v>5960166.3200659286</v>
      </c>
      <c r="D26" s="91">
        <f>C27</f>
        <v>8787632.7616350967</v>
      </c>
      <c r="E26" s="91">
        <f t="shared" ref="E26:F26" si="2">D27</f>
        <v>16769461.767562</v>
      </c>
      <c r="F26" s="91">
        <f t="shared" si="2"/>
        <v>31677890.336559795</v>
      </c>
      <c r="G26" s="81"/>
      <c r="H26" s="100"/>
    </row>
    <row r="27" spans="1:8">
      <c r="A27" s="120" t="s">
        <v>198</v>
      </c>
      <c r="B27" s="95">
        <f>SUM(B24:B26)</f>
        <v>5960166.3200659286</v>
      </c>
      <c r="C27" s="95">
        <f>SUM(C24:C26)</f>
        <v>8787632.7616350967</v>
      </c>
      <c r="D27" s="95">
        <f t="shared" ref="D27:F27" si="3">SUM(D24:D26)</f>
        <v>16769461.767562</v>
      </c>
      <c r="E27" s="95">
        <f t="shared" si="3"/>
        <v>31677890.336559795</v>
      </c>
      <c r="F27" s="95">
        <f t="shared" si="3"/>
        <v>58768417.854708701</v>
      </c>
      <c r="G27" s="81"/>
      <c r="H27" s="100"/>
    </row>
    <row r="28" spans="1:8">
      <c r="F28" s="81"/>
      <c r="G28" s="81"/>
    </row>
    <row r="29" spans="1:8">
      <c r="B29" s="99">
        <f>B27-'Balance Sheet'!B9</f>
        <v>0</v>
      </c>
      <c r="C29" s="99">
        <f>C27-'Balance Sheet'!C9</f>
        <v>0</v>
      </c>
      <c r="D29" s="99">
        <f>D27-'Balance Sheet'!D9</f>
        <v>0</v>
      </c>
      <c r="E29" s="99">
        <f>E27-'Balance Sheet'!E9</f>
        <v>0</v>
      </c>
      <c r="F29" s="99">
        <f>F27-'Balance Sheet'!F9</f>
        <v>0</v>
      </c>
      <c r="G29" s="81"/>
    </row>
    <row r="30" spans="1:8">
      <c r="B30" s="123"/>
      <c r="C30" s="123"/>
      <c r="D30" s="123"/>
      <c r="E30" s="123"/>
      <c r="F30" s="123"/>
      <c r="G30" s="81"/>
    </row>
    <row r="31" spans="1:8">
      <c r="B31" s="124"/>
      <c r="C31" s="124"/>
      <c r="D31" s="124"/>
      <c r="E31" s="124"/>
      <c r="F31" s="124"/>
      <c r="G31" s="81"/>
    </row>
    <row r="32" spans="1:8">
      <c r="B32" s="124"/>
      <c r="C32" s="125"/>
      <c r="D32" s="125"/>
      <c r="E32" s="125"/>
      <c r="F32" s="100"/>
      <c r="G32" s="81"/>
    </row>
    <row r="33" spans="6:7">
      <c r="F33" s="81"/>
      <c r="G33" s="81"/>
    </row>
  </sheetData>
  <pageMargins left="0.7" right="0.7" top="0.75" bottom="0.75" header="0.3" footer="0.3"/>
  <pageSetup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0"/>
  <dimension ref="A2:BI39"/>
  <sheetViews>
    <sheetView zoomScale="85" zoomScaleNormal="85" workbookViewId="0">
      <selection activeCell="A2" sqref="A2"/>
    </sheetView>
  </sheetViews>
  <sheetFormatPr defaultColWidth="9.109375" defaultRowHeight="15.6"/>
  <cols>
    <col min="1" max="1" width="39.6640625" style="69" customWidth="1"/>
    <col min="2" max="2" width="16.6640625" style="84" customWidth="1"/>
    <col min="3" max="3" width="15.33203125" style="84" customWidth="1"/>
    <col min="4" max="4" width="16.88671875" style="84" customWidth="1"/>
    <col min="5" max="5" width="15.44140625" style="84" customWidth="1"/>
    <col min="6" max="7" width="15.109375" style="84" customWidth="1"/>
    <col min="8" max="8" width="15.33203125" style="84" customWidth="1"/>
    <col min="9" max="13" width="15.109375" style="84" customWidth="1"/>
    <col min="14" max="14" width="15.44140625" style="69" customWidth="1"/>
    <col min="15" max="16" width="15.33203125" style="69" customWidth="1"/>
    <col min="17" max="17" width="14.88671875" style="69" customWidth="1"/>
    <col min="18" max="18" width="15.44140625" style="69" customWidth="1"/>
    <col min="19" max="19" width="15.109375" style="69" customWidth="1"/>
    <col min="20" max="20" width="15" style="69" customWidth="1"/>
    <col min="21" max="22" width="15.109375" style="69" customWidth="1"/>
    <col min="23" max="23" width="14.88671875" style="69" customWidth="1"/>
    <col min="24" max="24" width="15.109375" style="69" customWidth="1"/>
    <col min="25" max="25" width="14.88671875" style="69" customWidth="1"/>
    <col min="26" max="26" width="15" style="69" customWidth="1"/>
    <col min="27" max="27" width="15.109375" style="69" customWidth="1"/>
    <col min="28" max="28" width="15.33203125" style="69" customWidth="1"/>
    <col min="29" max="29" width="15.109375" style="69" customWidth="1"/>
    <col min="30" max="30" width="15" style="69" customWidth="1"/>
    <col min="31" max="31" width="15.109375" style="69" customWidth="1"/>
    <col min="32" max="32" width="15.33203125" style="69" customWidth="1"/>
    <col min="33" max="33" width="14.88671875" style="69" customWidth="1"/>
    <col min="34" max="34" width="15.109375" style="69" customWidth="1"/>
    <col min="35" max="37" width="14.88671875" style="69" customWidth="1"/>
    <col min="38" max="38" width="15.33203125" style="69" customWidth="1"/>
    <col min="39" max="44" width="15.109375" style="69" customWidth="1"/>
    <col min="45" max="45" width="15.88671875" style="69" customWidth="1"/>
    <col min="46" max="46" width="16.109375" style="69" customWidth="1"/>
    <col min="47" max="48" width="16.44140625" style="69" customWidth="1"/>
    <col min="49" max="50" width="16.33203125" style="69" customWidth="1"/>
    <col min="51" max="51" width="15.44140625" style="69" customWidth="1"/>
    <col min="52" max="52" width="15.88671875" style="69" customWidth="1"/>
    <col min="53" max="53" width="16.33203125" style="69" customWidth="1"/>
    <col min="54" max="54" width="16.109375" style="69" customWidth="1"/>
    <col min="55" max="55" width="15.88671875" style="69" customWidth="1"/>
    <col min="56" max="56" width="15.6640625" style="69" customWidth="1"/>
    <col min="57" max="57" width="15.5546875" style="69" customWidth="1"/>
    <col min="58" max="59" width="16.5546875" style="69" customWidth="1"/>
    <col min="60" max="60" width="16.88671875" style="69" customWidth="1"/>
    <col min="61" max="61" width="15.6640625" style="69" customWidth="1"/>
    <col min="62" max="16384" width="9.109375" style="69"/>
  </cols>
  <sheetData>
    <row r="2" spans="1:61" s="101" customFormat="1" ht="17.399999999999999">
      <c r="A2" s="102" t="s">
        <v>173</v>
      </c>
      <c r="B2" s="86" t="s">
        <v>15</v>
      </c>
      <c r="C2" s="86" t="s">
        <v>41</v>
      </c>
      <c r="D2" s="86" t="s">
        <v>42</v>
      </c>
      <c r="E2" s="86" t="s">
        <v>43</v>
      </c>
      <c r="F2" s="86" t="s">
        <v>44</v>
      </c>
      <c r="G2" s="86" t="s">
        <v>45</v>
      </c>
      <c r="H2" s="86" t="s">
        <v>46</v>
      </c>
      <c r="I2" s="86" t="s">
        <v>47</v>
      </c>
      <c r="J2" s="86" t="s">
        <v>48</v>
      </c>
      <c r="K2" s="86" t="s">
        <v>49</v>
      </c>
      <c r="L2" s="86" t="s">
        <v>50</v>
      </c>
      <c r="M2" s="86" t="s">
        <v>51</v>
      </c>
      <c r="N2" s="86" t="s">
        <v>20</v>
      </c>
      <c r="O2" s="86" t="s">
        <v>52</v>
      </c>
      <c r="P2" s="86" t="s">
        <v>53</v>
      </c>
      <c r="Q2" s="86" t="s">
        <v>54</v>
      </c>
      <c r="R2" s="86" t="s">
        <v>55</v>
      </c>
      <c r="S2" s="86" t="s">
        <v>56</v>
      </c>
      <c r="T2" s="86" t="s">
        <v>57</v>
      </c>
      <c r="U2" s="86" t="s">
        <v>58</v>
      </c>
      <c r="V2" s="86" t="s">
        <v>59</v>
      </c>
      <c r="W2" s="86" t="s">
        <v>60</v>
      </c>
      <c r="X2" s="86" t="s">
        <v>61</v>
      </c>
      <c r="Y2" s="86" t="s">
        <v>62</v>
      </c>
      <c r="Z2" s="86" t="s">
        <v>63</v>
      </c>
      <c r="AA2" s="86" t="s">
        <v>64</v>
      </c>
      <c r="AB2" s="86" t="s">
        <v>65</v>
      </c>
      <c r="AC2" s="86" t="s">
        <v>66</v>
      </c>
      <c r="AD2" s="86" t="s">
        <v>67</v>
      </c>
      <c r="AE2" s="86" t="s">
        <v>68</v>
      </c>
      <c r="AF2" s="86" t="s">
        <v>69</v>
      </c>
      <c r="AG2" s="86" t="s">
        <v>70</v>
      </c>
      <c r="AH2" s="86" t="s">
        <v>71</v>
      </c>
      <c r="AI2" s="86" t="s">
        <v>72</v>
      </c>
      <c r="AJ2" s="86" t="s">
        <v>73</v>
      </c>
      <c r="AK2" s="86" t="s">
        <v>74</v>
      </c>
      <c r="AL2" s="86" t="s">
        <v>75</v>
      </c>
      <c r="AM2" s="86" t="s">
        <v>76</v>
      </c>
      <c r="AN2" s="86" t="s">
        <v>77</v>
      </c>
      <c r="AO2" s="86" t="s">
        <v>78</v>
      </c>
      <c r="AP2" s="86" t="s">
        <v>79</v>
      </c>
      <c r="AQ2" s="86" t="s">
        <v>80</v>
      </c>
      <c r="AR2" s="86" t="s">
        <v>81</v>
      </c>
      <c r="AS2" s="86" t="s">
        <v>82</v>
      </c>
      <c r="AT2" s="86" t="s">
        <v>83</v>
      </c>
      <c r="AU2" s="86" t="s">
        <v>84</v>
      </c>
      <c r="AV2" s="86" t="s">
        <v>85</v>
      </c>
      <c r="AW2" s="86" t="s">
        <v>86</v>
      </c>
      <c r="AX2" s="86" t="s">
        <v>87</v>
      </c>
      <c r="AY2" s="86" t="s">
        <v>88</v>
      </c>
      <c r="AZ2" s="86" t="s">
        <v>89</v>
      </c>
      <c r="BA2" s="86" t="s">
        <v>90</v>
      </c>
      <c r="BB2" s="86" t="s">
        <v>91</v>
      </c>
      <c r="BC2" s="86" t="s">
        <v>91</v>
      </c>
      <c r="BD2" s="86" t="s">
        <v>93</v>
      </c>
      <c r="BE2" s="86" t="s">
        <v>94</v>
      </c>
      <c r="BF2" s="86" t="s">
        <v>95</v>
      </c>
      <c r="BG2" s="86" t="s">
        <v>96</v>
      </c>
      <c r="BH2" s="86" t="s">
        <v>97</v>
      </c>
      <c r="BI2" s="86" t="s">
        <v>98</v>
      </c>
    </row>
    <row r="3" spans="1:61" s="83" customFormat="1">
      <c r="A3" s="276" t="str">
        <f>'Revenue Forecasts'!A2</f>
        <v>Total Revenue</v>
      </c>
      <c r="B3" s="277">
        <f>'Revenue Forecasts'!B6</f>
        <v>262500</v>
      </c>
      <c r="C3" s="277">
        <f>'Revenue Forecasts'!C6</f>
        <v>270375.00000000006</v>
      </c>
      <c r="D3" s="277">
        <f>'Revenue Forecasts'!D6</f>
        <v>278486.25</v>
      </c>
      <c r="E3" s="277">
        <f>'Revenue Forecasts'!E6</f>
        <v>286840.83750000002</v>
      </c>
      <c r="F3" s="277">
        <f>'Revenue Forecasts'!F6</f>
        <v>295446.06262500002</v>
      </c>
      <c r="G3" s="277">
        <f>'Revenue Forecasts'!G6</f>
        <v>304309.44450375001</v>
      </c>
      <c r="H3" s="277">
        <f>'Revenue Forecasts'!H6</f>
        <v>313438.72783886257</v>
      </c>
      <c r="I3" s="277">
        <f>'Revenue Forecasts'!I6</f>
        <v>322841.88967402844</v>
      </c>
      <c r="J3" s="277">
        <f>'Revenue Forecasts'!J6</f>
        <v>332527.14636424929</v>
      </c>
      <c r="K3" s="277">
        <f>'Revenue Forecasts'!K6</f>
        <v>342502.96075517678</v>
      </c>
      <c r="L3" s="277">
        <f>'Revenue Forecasts'!L6</f>
        <v>352778.04957783211</v>
      </c>
      <c r="M3" s="277">
        <f>'Revenue Forecasts'!M6</f>
        <v>363361.39106516703</v>
      </c>
      <c r="N3" s="277">
        <f>'Revenue Forecasts'!N6</f>
        <v>524697.53017168376</v>
      </c>
      <c r="O3" s="277">
        <f>'Revenue Forecasts'!O6</f>
        <v>577167.28318885225</v>
      </c>
      <c r="P3" s="277">
        <f>'Revenue Forecasts'!P6</f>
        <v>634884.01150773745</v>
      </c>
      <c r="Q3" s="277">
        <f>'Revenue Forecasts'!Q6</f>
        <v>698372.4126585112</v>
      </c>
      <c r="R3" s="277">
        <f>'Revenue Forecasts'!R6</f>
        <v>768209.65392436238</v>
      </c>
      <c r="S3" s="277">
        <f>'Revenue Forecasts'!S6</f>
        <v>845030.61931679875</v>
      </c>
      <c r="T3" s="277">
        <f>'Revenue Forecasts'!T6</f>
        <v>929533.68124847859</v>
      </c>
      <c r="U3" s="277">
        <f>'Revenue Forecasts'!U6</f>
        <v>1022487.0493733266</v>
      </c>
      <c r="V3" s="277">
        <f>'Revenue Forecasts'!V6</f>
        <v>1124735.7543106594</v>
      </c>
      <c r="W3" s="277">
        <f>'Revenue Forecasts'!W6</f>
        <v>1237209.3297417252</v>
      </c>
      <c r="X3" s="277">
        <f>'Revenue Forecasts'!X6</f>
        <v>1360930.262715898</v>
      </c>
      <c r="Y3" s="277">
        <f>'Revenue Forecasts'!Y6</f>
        <v>1497023.2889874878</v>
      </c>
      <c r="Z3" s="277">
        <f>'Revenue Forecasts'!Z6</f>
        <v>1571874.453436862</v>
      </c>
      <c r="AA3" s="277">
        <f>'Revenue Forecasts'!AA6</f>
        <v>1650468.1761087053</v>
      </c>
      <c r="AB3" s="277">
        <f>'Revenue Forecasts'!AB6</f>
        <v>1732991.5849141406</v>
      </c>
      <c r="AC3" s="277">
        <f>'Revenue Forecasts'!AC6</f>
        <v>1819641.1641598477</v>
      </c>
      <c r="AD3" s="277">
        <f>'Revenue Forecasts'!AD6</f>
        <v>1910623.2223678401</v>
      </c>
      <c r="AE3" s="277">
        <f>'Revenue Forecasts'!AE6</f>
        <v>2006154.3834862323</v>
      </c>
      <c r="AF3" s="277">
        <f>'Revenue Forecasts'!AF6</f>
        <v>2106462.1026605442</v>
      </c>
      <c r="AG3" s="277">
        <f>'Revenue Forecasts'!AG6</f>
        <v>2211785.2077935711</v>
      </c>
      <c r="AH3" s="277">
        <f>'Revenue Forecasts'!AH6</f>
        <v>2322374.4681832502</v>
      </c>
      <c r="AI3" s="277">
        <f>'Revenue Forecasts'!AI6</f>
        <v>2438493.1915924125</v>
      </c>
      <c r="AJ3" s="277">
        <f>'Revenue Forecasts'!AJ6</f>
        <v>2560417.8511720337</v>
      </c>
      <c r="AK3" s="277">
        <f>'Revenue Forecasts'!AK6</f>
        <v>2688438.7437306354</v>
      </c>
      <c r="AL3" s="277">
        <f>'Revenue Forecasts'!AL6</f>
        <v>2822860.6809171671</v>
      </c>
      <c r="AM3" s="277">
        <f>'Revenue Forecasts'!AM6</f>
        <v>2964003.7149630254</v>
      </c>
      <c r="AN3" s="277">
        <f>'Revenue Forecasts'!AN6</f>
        <v>3112203.9007111769</v>
      </c>
      <c r="AO3" s="277">
        <f>'Revenue Forecasts'!AO6</f>
        <v>3267814.0957467356</v>
      </c>
      <c r="AP3" s="277">
        <f>'Revenue Forecasts'!AP6</f>
        <v>3431204.8005340728</v>
      </c>
      <c r="AQ3" s="277">
        <f>'Revenue Forecasts'!AQ6</f>
        <v>3602765.0405607768</v>
      </c>
      <c r="AR3" s="277">
        <f>'Revenue Forecasts'!AR6</f>
        <v>3782903.2925888156</v>
      </c>
      <c r="AS3" s="277">
        <f>'Revenue Forecasts'!AS6</f>
        <v>3972048.4572182568</v>
      </c>
      <c r="AT3" s="277">
        <f>'Revenue Forecasts'!AT6</f>
        <v>4170650.8800791693</v>
      </c>
      <c r="AU3" s="277">
        <f>'Revenue Forecasts'!AU6</f>
        <v>4379183.4240831286</v>
      </c>
      <c r="AV3" s="277">
        <f>'Revenue Forecasts'!AV6</f>
        <v>4598142.5952872839</v>
      </c>
      <c r="AW3" s="277">
        <f>'Revenue Forecasts'!AW6</f>
        <v>4828049.7250516489</v>
      </c>
      <c r="AX3" s="277">
        <f>'Revenue Forecasts'!AX6</f>
        <v>5069452.2113042306</v>
      </c>
      <c r="AY3" s="277">
        <f>'Revenue Forecasts'!AY6</f>
        <v>5322924.8218694422</v>
      </c>
      <c r="AZ3" s="277">
        <f>'Revenue Forecasts'!AZ6</f>
        <v>5589071.0629629157</v>
      </c>
      <c r="BA3" s="277">
        <f>'Revenue Forecasts'!BA6</f>
        <v>5868524.6161110615</v>
      </c>
      <c r="BB3" s="277">
        <f>'Revenue Forecasts'!BB6</f>
        <v>6161950.846916615</v>
      </c>
      <c r="BC3" s="277">
        <f>'Revenue Forecasts'!BC6</f>
        <v>6470048.3892624462</v>
      </c>
      <c r="BD3" s="277">
        <f>'Revenue Forecasts'!BD6</f>
        <v>6793550.8087255685</v>
      </c>
      <c r="BE3" s="277">
        <f>'Revenue Forecasts'!BE6</f>
        <v>7133228.3491618475</v>
      </c>
      <c r="BF3" s="277">
        <f>'Revenue Forecasts'!BF6</f>
        <v>7489889.7666199394</v>
      </c>
      <c r="BG3" s="277">
        <f>'Revenue Forecasts'!BG6</f>
        <v>7864384.2549509369</v>
      </c>
      <c r="BH3" s="277">
        <f>'Revenue Forecasts'!BH6</f>
        <v>8257603.4676984847</v>
      </c>
      <c r="BI3" s="277">
        <f>'Revenue Forecasts'!BI6</f>
        <v>8670483.64108341</v>
      </c>
    </row>
    <row r="4" spans="1:61" s="280" customFormat="1">
      <c r="A4" s="276" t="s">
        <v>308</v>
      </c>
      <c r="B4" s="277">
        <f>'Revenue Forecasts'!B47</f>
        <v>86625</v>
      </c>
      <c r="C4" s="277">
        <f>'Revenue Forecasts'!C47</f>
        <v>89223.750000000029</v>
      </c>
      <c r="D4" s="277">
        <f>'Revenue Forecasts'!D47</f>
        <v>91900.462500000009</v>
      </c>
      <c r="E4" s="277">
        <f>'Revenue Forecasts'!E47</f>
        <v>94657.476374999998</v>
      </c>
      <c r="F4" s="277">
        <f>'Revenue Forecasts'!F47</f>
        <v>97497.200666250021</v>
      </c>
      <c r="G4" s="277">
        <f>'Revenue Forecasts'!G47</f>
        <v>100422.11668623751</v>
      </c>
      <c r="H4" s="277">
        <f>'Revenue Forecasts'!H47</f>
        <v>103434.78018682465</v>
      </c>
      <c r="I4" s="277">
        <f>'Revenue Forecasts'!I47</f>
        <v>106537.8235924294</v>
      </c>
      <c r="J4" s="277">
        <f>'Revenue Forecasts'!J47</f>
        <v>109733.95830020227</v>
      </c>
      <c r="K4" s="277">
        <f>'Revenue Forecasts'!K47</f>
        <v>113025.97704920835</v>
      </c>
      <c r="L4" s="277">
        <f>'Revenue Forecasts'!L47</f>
        <v>116416.75636068461</v>
      </c>
      <c r="M4" s="277">
        <f>'Revenue Forecasts'!M47</f>
        <v>119909.25905150511</v>
      </c>
      <c r="N4" s="277">
        <f>'Revenue Forecasts'!N47</f>
        <v>198150.18495665566</v>
      </c>
      <c r="O4" s="277">
        <f>'Revenue Forecasts'!O47</f>
        <v>217965.20345232126</v>
      </c>
      <c r="P4" s="277">
        <f>'Revenue Forecasts'!P47</f>
        <v>239761.72379755339</v>
      </c>
      <c r="Q4" s="277">
        <f>'Revenue Forecasts'!Q47</f>
        <v>263737.89617730869</v>
      </c>
      <c r="R4" s="277">
        <f>'Revenue Forecasts'!R47</f>
        <v>290111.68579503958</v>
      </c>
      <c r="S4" s="277">
        <f>'Revenue Forecasts'!S47</f>
        <v>319122.85437454359</v>
      </c>
      <c r="T4" s="277">
        <f>'Revenue Forecasts'!T47</f>
        <v>351035.13981199794</v>
      </c>
      <c r="U4" s="277">
        <f>'Revenue Forecasts'!U47</f>
        <v>386138.65379319782</v>
      </c>
      <c r="V4" s="277">
        <f>'Revenue Forecasts'!V47</f>
        <v>424752.5191725177</v>
      </c>
      <c r="W4" s="277">
        <f>'Revenue Forecasts'!W47</f>
        <v>467227.77108976943</v>
      </c>
      <c r="X4" s="277">
        <f>'Revenue Forecasts'!X47</f>
        <v>513950.5481987464</v>
      </c>
      <c r="Y4" s="277">
        <f>'Revenue Forecasts'!Y47</f>
        <v>565345.60301862098</v>
      </c>
      <c r="Z4" s="277">
        <f>'Revenue Forecasts'!Z47</f>
        <v>593612.88316955208</v>
      </c>
      <c r="AA4" s="277">
        <f>'Revenue Forecasts'!AA47</f>
        <v>623293.52732802974</v>
      </c>
      <c r="AB4" s="277">
        <f>'Revenue Forecasts'!AB47</f>
        <v>654458.20369443111</v>
      </c>
      <c r="AC4" s="277">
        <f>'Revenue Forecasts'!AC47</f>
        <v>687181.11387915281</v>
      </c>
      <c r="AD4" s="277">
        <f>'Revenue Forecasts'!AD47</f>
        <v>721540.16957311041</v>
      </c>
      <c r="AE4" s="277">
        <f>'Revenue Forecasts'!AE47</f>
        <v>757617.17805176601</v>
      </c>
      <c r="AF4" s="277">
        <f>'Revenue Forecasts'!AF47</f>
        <v>795498.03695435426</v>
      </c>
      <c r="AG4" s="277">
        <f>'Revenue Forecasts'!AG47</f>
        <v>835272.93880207208</v>
      </c>
      <c r="AH4" s="277">
        <f>'Revenue Forecasts'!AH47</f>
        <v>877036.58574217581</v>
      </c>
      <c r="AI4" s="277">
        <f>'Revenue Forecasts'!AI47</f>
        <v>920888.41502928454</v>
      </c>
      <c r="AJ4" s="277">
        <f>'Revenue Forecasts'!AJ47</f>
        <v>966932.83578074898</v>
      </c>
      <c r="AK4" s="277">
        <f>'Revenue Forecasts'!AK47</f>
        <v>1015279.4775697864</v>
      </c>
      <c r="AL4" s="277">
        <f>'Revenue Forecasts'!AL47</f>
        <v>1066043.4514482757</v>
      </c>
      <c r="AM4" s="277">
        <f>'Revenue Forecasts'!AM47</f>
        <v>1119345.6240206896</v>
      </c>
      <c r="AN4" s="277">
        <f>'Revenue Forecasts'!AN47</f>
        <v>1175312.9052217242</v>
      </c>
      <c r="AO4" s="277">
        <f>'Revenue Forecasts'!AO47</f>
        <v>1234078.5504828105</v>
      </c>
      <c r="AP4" s="277">
        <f>'Revenue Forecasts'!AP47</f>
        <v>1295782.478006951</v>
      </c>
      <c r="AQ4" s="277">
        <f>'Revenue Forecasts'!AQ47</f>
        <v>1360571.6019072987</v>
      </c>
      <c r="AR4" s="277">
        <f>'Revenue Forecasts'!AR47</f>
        <v>1428600.1820026636</v>
      </c>
      <c r="AS4" s="277">
        <f>'Revenue Forecasts'!AS47</f>
        <v>1500030.1911027967</v>
      </c>
      <c r="AT4" s="277">
        <f>'Revenue Forecasts'!AT47</f>
        <v>1575031.7006579367</v>
      </c>
      <c r="AU4" s="277">
        <f>'Revenue Forecasts'!AU47</f>
        <v>1653783.2856908336</v>
      </c>
      <c r="AV4" s="277">
        <f>'Revenue Forecasts'!AV47</f>
        <v>1736472.4499753753</v>
      </c>
      <c r="AW4" s="277">
        <f>'Revenue Forecasts'!AW47</f>
        <v>1823296.0724741442</v>
      </c>
      <c r="AX4" s="277">
        <f>'Revenue Forecasts'!AX47</f>
        <v>1914460.8760978514</v>
      </c>
      <c r="AY4" s="277">
        <f>'Revenue Forecasts'!AY47</f>
        <v>2010183.9199027435</v>
      </c>
      <c r="AZ4" s="277">
        <f>'Revenue Forecasts'!AZ47</f>
        <v>2110693.1158978809</v>
      </c>
      <c r="BA4" s="277">
        <f>'Revenue Forecasts'!BA47</f>
        <v>2216227.7716927757</v>
      </c>
      <c r="BB4" s="277">
        <f>'Revenue Forecasts'!BB47</f>
        <v>2327039.1602774141</v>
      </c>
      <c r="BC4" s="277">
        <f>'Revenue Forecasts'!BC47</f>
        <v>2443391.1182912854</v>
      </c>
      <c r="BD4" s="277">
        <f>'Revenue Forecasts'!BD47</f>
        <v>2565560.6742058494</v>
      </c>
      <c r="BE4" s="277">
        <f>'Revenue Forecasts'!BE47</f>
        <v>2693838.707916142</v>
      </c>
      <c r="BF4" s="277">
        <f>'Revenue Forecasts'!BF47</f>
        <v>2828530.643311949</v>
      </c>
      <c r="BG4" s="277">
        <f>'Revenue Forecasts'!BG47</f>
        <v>2969957.1754775466</v>
      </c>
      <c r="BH4" s="277">
        <f>'Revenue Forecasts'!BH47</f>
        <v>3118455.0342514245</v>
      </c>
      <c r="BI4" s="277">
        <f>'Revenue Forecasts'!BI47</f>
        <v>3274377.7859639958</v>
      </c>
    </row>
    <row r="5" spans="1:61" s="83" customFormat="1">
      <c r="A5" s="307" t="s">
        <v>309</v>
      </c>
      <c r="B5" s="308">
        <f>B3-B4</f>
        <v>175875</v>
      </c>
      <c r="C5" s="308">
        <f t="shared" ref="C5:BI5" si="0">C3-C4</f>
        <v>181151.25000000003</v>
      </c>
      <c r="D5" s="308">
        <f t="shared" si="0"/>
        <v>186585.78749999998</v>
      </c>
      <c r="E5" s="308">
        <f t="shared" si="0"/>
        <v>192183.36112500002</v>
      </c>
      <c r="F5" s="308">
        <f t="shared" si="0"/>
        <v>197948.86195875</v>
      </c>
      <c r="G5" s="308">
        <f t="shared" si="0"/>
        <v>203887.3278175125</v>
      </c>
      <c r="H5" s="308">
        <f t="shared" si="0"/>
        <v>210003.94765203792</v>
      </c>
      <c r="I5" s="308">
        <f t="shared" si="0"/>
        <v>216304.06608159904</v>
      </c>
      <c r="J5" s="308">
        <f t="shared" si="0"/>
        <v>222793.18806404702</v>
      </c>
      <c r="K5" s="308">
        <f t="shared" si="0"/>
        <v>229476.98370596842</v>
      </c>
      <c r="L5" s="308">
        <f t="shared" si="0"/>
        <v>236361.2932171475</v>
      </c>
      <c r="M5" s="308">
        <f t="shared" si="0"/>
        <v>243452.1320136619</v>
      </c>
      <c r="N5" s="308">
        <f t="shared" si="0"/>
        <v>326547.34521502809</v>
      </c>
      <c r="O5" s="308">
        <f t="shared" si="0"/>
        <v>359202.07973653101</v>
      </c>
      <c r="P5" s="308">
        <f t="shared" si="0"/>
        <v>395122.28771018406</v>
      </c>
      <c r="Q5" s="308">
        <f t="shared" si="0"/>
        <v>434634.5164812025</v>
      </c>
      <c r="R5" s="308">
        <f t="shared" si="0"/>
        <v>478097.96812932281</v>
      </c>
      <c r="S5" s="308">
        <f t="shared" si="0"/>
        <v>525907.7649422551</v>
      </c>
      <c r="T5" s="308">
        <f t="shared" si="0"/>
        <v>578498.54143648059</v>
      </c>
      <c r="U5" s="308">
        <f t="shared" si="0"/>
        <v>636348.39558012877</v>
      </c>
      <c r="V5" s="308">
        <f t="shared" si="0"/>
        <v>699983.23513814167</v>
      </c>
      <c r="W5" s="308">
        <f t="shared" si="0"/>
        <v>769981.5586519558</v>
      </c>
      <c r="X5" s="308">
        <f t="shared" si="0"/>
        <v>846979.71451715159</v>
      </c>
      <c r="Y5" s="308">
        <f t="shared" si="0"/>
        <v>931677.6859688668</v>
      </c>
      <c r="Z5" s="308">
        <f t="shared" si="0"/>
        <v>978261.5702673099</v>
      </c>
      <c r="AA5" s="308">
        <f t="shared" si="0"/>
        <v>1027174.6487806756</v>
      </c>
      <c r="AB5" s="308">
        <f t="shared" si="0"/>
        <v>1078533.3812197095</v>
      </c>
      <c r="AC5" s="308">
        <f t="shared" si="0"/>
        <v>1132460.0502806948</v>
      </c>
      <c r="AD5" s="308">
        <f t="shared" si="0"/>
        <v>1189083.0527947298</v>
      </c>
      <c r="AE5" s="308">
        <f t="shared" si="0"/>
        <v>1248537.2054344662</v>
      </c>
      <c r="AF5" s="308">
        <f t="shared" si="0"/>
        <v>1310964.06570619</v>
      </c>
      <c r="AG5" s="308">
        <f t="shared" si="0"/>
        <v>1376512.268991499</v>
      </c>
      <c r="AH5" s="308">
        <f t="shared" si="0"/>
        <v>1445337.8824410744</v>
      </c>
      <c r="AI5" s="308">
        <f t="shared" si="0"/>
        <v>1517604.776563128</v>
      </c>
      <c r="AJ5" s="308">
        <f t="shared" si="0"/>
        <v>1593485.0153912846</v>
      </c>
      <c r="AK5" s="308">
        <f t="shared" si="0"/>
        <v>1673159.266160849</v>
      </c>
      <c r="AL5" s="308">
        <f t="shared" si="0"/>
        <v>1756817.2294688914</v>
      </c>
      <c r="AM5" s="308">
        <f t="shared" si="0"/>
        <v>1844658.0909423358</v>
      </c>
      <c r="AN5" s="308">
        <f t="shared" si="0"/>
        <v>1936890.9954894527</v>
      </c>
      <c r="AO5" s="308">
        <f t="shared" si="0"/>
        <v>2033735.5452639251</v>
      </c>
      <c r="AP5" s="308">
        <f t="shared" si="0"/>
        <v>2135422.3225271218</v>
      </c>
      <c r="AQ5" s="308">
        <f t="shared" si="0"/>
        <v>2242193.4386534784</v>
      </c>
      <c r="AR5" s="308">
        <f t="shared" si="0"/>
        <v>2354303.1105861519</v>
      </c>
      <c r="AS5" s="308">
        <f t="shared" si="0"/>
        <v>2472018.2661154601</v>
      </c>
      <c r="AT5" s="308">
        <f t="shared" si="0"/>
        <v>2595619.1794212325</v>
      </c>
      <c r="AU5" s="308">
        <f t="shared" si="0"/>
        <v>2725400.1383922948</v>
      </c>
      <c r="AV5" s="308">
        <f t="shared" si="0"/>
        <v>2861670.1453119088</v>
      </c>
      <c r="AW5" s="308">
        <f t="shared" si="0"/>
        <v>3004753.6525775045</v>
      </c>
      <c r="AX5" s="308">
        <f t="shared" si="0"/>
        <v>3154991.3352063792</v>
      </c>
      <c r="AY5" s="308">
        <f t="shared" si="0"/>
        <v>3312740.9019666985</v>
      </c>
      <c r="AZ5" s="308">
        <f t="shared" si="0"/>
        <v>3478377.9470650349</v>
      </c>
      <c r="BA5" s="308">
        <f t="shared" si="0"/>
        <v>3652296.8444182859</v>
      </c>
      <c r="BB5" s="308">
        <f t="shared" si="0"/>
        <v>3834911.6866392009</v>
      </c>
      <c r="BC5" s="308">
        <f t="shared" si="0"/>
        <v>4026657.2709711608</v>
      </c>
      <c r="BD5" s="308">
        <f t="shared" si="0"/>
        <v>4227990.1345197186</v>
      </c>
      <c r="BE5" s="308">
        <f t="shared" si="0"/>
        <v>4439389.641245706</v>
      </c>
      <c r="BF5" s="308">
        <f t="shared" si="0"/>
        <v>4661359.1233079899</v>
      </c>
      <c r="BG5" s="308">
        <f t="shared" si="0"/>
        <v>4894427.0794733902</v>
      </c>
      <c r="BH5" s="308">
        <f t="shared" si="0"/>
        <v>5139148.4334470602</v>
      </c>
      <c r="BI5" s="308">
        <f t="shared" si="0"/>
        <v>5396105.8551194146</v>
      </c>
    </row>
    <row r="6" spans="1:61" s="83" customFormat="1">
      <c r="A6" s="307"/>
      <c r="B6" s="308"/>
      <c r="C6" s="308"/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  <c r="O6" s="308"/>
      <c r="P6" s="308"/>
      <c r="Q6" s="308"/>
      <c r="R6" s="308"/>
      <c r="S6" s="308"/>
      <c r="T6" s="308"/>
      <c r="U6" s="308"/>
      <c r="V6" s="308"/>
      <c r="W6" s="308"/>
      <c r="X6" s="308"/>
      <c r="Y6" s="308"/>
      <c r="Z6" s="308"/>
      <c r="AA6" s="308"/>
      <c r="AB6" s="308"/>
      <c r="AC6" s="308"/>
      <c r="AD6" s="308"/>
      <c r="AE6" s="308"/>
      <c r="AF6" s="308"/>
      <c r="AG6" s="308"/>
      <c r="AH6" s="308"/>
      <c r="AI6" s="308"/>
      <c r="AJ6" s="308"/>
      <c r="AK6" s="308"/>
      <c r="AL6" s="308"/>
      <c r="AM6" s="308"/>
      <c r="AN6" s="308"/>
      <c r="AO6" s="308"/>
      <c r="AP6" s="308"/>
      <c r="AQ6" s="308"/>
      <c r="AR6" s="308"/>
      <c r="AS6" s="308"/>
      <c r="AT6" s="308"/>
      <c r="AU6" s="308"/>
      <c r="AV6" s="308"/>
      <c r="AW6" s="308"/>
      <c r="AX6" s="308"/>
      <c r="AY6" s="308"/>
      <c r="AZ6" s="308"/>
      <c r="BA6" s="308"/>
      <c r="BB6" s="308"/>
      <c r="BC6" s="308"/>
      <c r="BD6" s="308"/>
      <c r="BE6" s="308"/>
      <c r="BF6" s="308"/>
      <c r="BG6" s="308"/>
      <c r="BH6" s="308"/>
      <c r="BI6" s="308"/>
    </row>
    <row r="7" spans="1:61" s="83" customFormat="1">
      <c r="A7" s="103" t="s">
        <v>176</v>
      </c>
      <c r="B7" s="97"/>
      <c r="C7" s="97"/>
      <c r="D7" s="97"/>
      <c r="E7" s="97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</row>
    <row r="8" spans="1:61" s="83" customFormat="1">
      <c r="A8" s="105" t="str">
        <f>'Expense Sheet'!A3</f>
        <v>Payroll</v>
      </c>
      <c r="B8" s="91">
        <f>'Expense Sheet'!B3</f>
        <v>79252.75</v>
      </c>
      <c r="C8" s="91">
        <f>'Expense Sheet'!C3</f>
        <v>79252.75</v>
      </c>
      <c r="D8" s="91">
        <f>'Expense Sheet'!D3</f>
        <v>79252.75</v>
      </c>
      <c r="E8" s="91">
        <f>'Expense Sheet'!E3</f>
        <v>79252.75</v>
      </c>
      <c r="F8" s="91">
        <f>'Expense Sheet'!F3</f>
        <v>79252.75</v>
      </c>
      <c r="G8" s="91">
        <f>'Expense Sheet'!G3</f>
        <v>79252.75</v>
      </c>
      <c r="H8" s="91">
        <f>'Expense Sheet'!H3</f>
        <v>79252.75</v>
      </c>
      <c r="I8" s="91">
        <f>'Expense Sheet'!I3</f>
        <v>79252.75</v>
      </c>
      <c r="J8" s="91">
        <f>'Expense Sheet'!J3</f>
        <v>79252.75</v>
      </c>
      <c r="K8" s="91">
        <f>'Expense Sheet'!K3</f>
        <v>79252.75</v>
      </c>
      <c r="L8" s="91">
        <f>'Expense Sheet'!L3</f>
        <v>79252.75</v>
      </c>
      <c r="M8" s="91">
        <f>'Expense Sheet'!M3</f>
        <v>79252.75</v>
      </c>
      <c r="N8" s="91">
        <f>'Expense Sheet'!N3</f>
        <v>96325.991666666683</v>
      </c>
      <c r="O8" s="91">
        <f>'Expense Sheet'!O3</f>
        <v>87569.083333333343</v>
      </c>
      <c r="P8" s="91">
        <f>'Expense Sheet'!P3</f>
        <v>87569.083333333343</v>
      </c>
      <c r="Q8" s="91">
        <f>'Expense Sheet'!Q3</f>
        <v>87569.083333333343</v>
      </c>
      <c r="R8" s="91">
        <f>'Expense Sheet'!R3</f>
        <v>87569.083333333343</v>
      </c>
      <c r="S8" s="91">
        <f>'Expense Sheet'!S3</f>
        <v>87569.083333333343</v>
      </c>
      <c r="T8" s="91">
        <f>'Expense Sheet'!T3</f>
        <v>87569.083333333343</v>
      </c>
      <c r="U8" s="91">
        <f>'Expense Sheet'!U3</f>
        <v>87569.083333333343</v>
      </c>
      <c r="V8" s="91">
        <f>'Expense Sheet'!V3</f>
        <v>87569.083333333343</v>
      </c>
      <c r="W8" s="91">
        <f>'Expense Sheet'!W3</f>
        <v>87569.083333333343</v>
      </c>
      <c r="X8" s="91">
        <f>'Expense Sheet'!X3</f>
        <v>87569.083333333343</v>
      </c>
      <c r="Y8" s="91">
        <f>'Expense Sheet'!Y3</f>
        <v>87569.083333333343</v>
      </c>
      <c r="Z8" s="91">
        <f>'Expense Sheet'!Z3</f>
        <v>122273.82750000003</v>
      </c>
      <c r="AA8" s="91">
        <f>'Expense Sheet'!AA3</f>
        <v>101052.75</v>
      </c>
      <c r="AB8" s="91">
        <f>'Expense Sheet'!AB3</f>
        <v>101052.75</v>
      </c>
      <c r="AC8" s="91">
        <f>'Expense Sheet'!AC3</f>
        <v>101052.75</v>
      </c>
      <c r="AD8" s="91">
        <f>'Expense Sheet'!AD3</f>
        <v>101052.75</v>
      </c>
      <c r="AE8" s="91">
        <f>'Expense Sheet'!AE3</f>
        <v>101052.75</v>
      </c>
      <c r="AF8" s="91">
        <f>'Expense Sheet'!AF3</f>
        <v>101052.75</v>
      </c>
      <c r="AG8" s="91">
        <f>'Expense Sheet'!AG3</f>
        <v>101052.75</v>
      </c>
      <c r="AH8" s="91">
        <f>'Expense Sheet'!AH3</f>
        <v>101052.75</v>
      </c>
      <c r="AI8" s="91">
        <f>'Expense Sheet'!AI3</f>
        <v>101052.75</v>
      </c>
      <c r="AJ8" s="91">
        <f>'Expense Sheet'!AJ3</f>
        <v>101052.75</v>
      </c>
      <c r="AK8" s="91">
        <f>'Expense Sheet'!AK3</f>
        <v>101052.75</v>
      </c>
      <c r="AL8" s="91">
        <f>'Expense Sheet'!AL3</f>
        <v>140035.73008333339</v>
      </c>
      <c r="AM8" s="91">
        <f>'Expense Sheet'!AM3</f>
        <v>105210.91666666666</v>
      </c>
      <c r="AN8" s="91">
        <f>'Expense Sheet'!AN3</f>
        <v>105210.91666666666</v>
      </c>
      <c r="AO8" s="91">
        <f>'Expense Sheet'!AO3</f>
        <v>105210.91666666666</v>
      </c>
      <c r="AP8" s="91">
        <f>'Expense Sheet'!AP3</f>
        <v>105210.91666666666</v>
      </c>
      <c r="AQ8" s="91">
        <f>'Expense Sheet'!AQ3</f>
        <v>105210.91666666666</v>
      </c>
      <c r="AR8" s="91">
        <f>'Expense Sheet'!AR3</f>
        <v>105210.91666666666</v>
      </c>
      <c r="AS8" s="91">
        <f>'Expense Sheet'!AS3</f>
        <v>105210.91666666666</v>
      </c>
      <c r="AT8" s="91">
        <f>'Expense Sheet'!AT3</f>
        <v>105210.91666666666</v>
      </c>
      <c r="AU8" s="91">
        <f>'Expense Sheet'!AU3</f>
        <v>105210.91666666666</v>
      </c>
      <c r="AV8" s="91">
        <f>'Expense Sheet'!AV3</f>
        <v>105210.91666666666</v>
      </c>
      <c r="AW8" s="91">
        <f>'Expense Sheet'!AW3</f>
        <v>105210.91666666666</v>
      </c>
      <c r="AX8" s="91">
        <f>'Expense Sheet'!AX3</f>
        <v>160127.27490833341</v>
      </c>
      <c r="AY8" s="91">
        <f>'Expense Sheet'!AY3</f>
        <v>109369.08333333333</v>
      </c>
      <c r="AZ8" s="91">
        <f>'Expense Sheet'!AZ3</f>
        <v>109369.08333333333</v>
      </c>
      <c r="BA8" s="91">
        <f>'Expense Sheet'!BA3</f>
        <v>109369.08333333333</v>
      </c>
      <c r="BB8" s="91">
        <f>'Expense Sheet'!BB3</f>
        <v>109369.08333333333</v>
      </c>
      <c r="BC8" s="91">
        <f>'Expense Sheet'!BC3</f>
        <v>109369.08333333333</v>
      </c>
      <c r="BD8" s="91">
        <f>'Expense Sheet'!BD3</f>
        <v>109369.08333333333</v>
      </c>
      <c r="BE8" s="91">
        <f>'Expense Sheet'!BE3</f>
        <v>109369.08333333333</v>
      </c>
      <c r="BF8" s="91">
        <f>'Expense Sheet'!BF3</f>
        <v>109369.08333333333</v>
      </c>
      <c r="BG8" s="91">
        <f>'Expense Sheet'!BG3</f>
        <v>109369.08333333333</v>
      </c>
      <c r="BH8" s="91">
        <f>'Expense Sheet'!BH3</f>
        <v>109369.08333333333</v>
      </c>
      <c r="BI8" s="91">
        <f>'Expense Sheet'!BI3</f>
        <v>109369.08333333333</v>
      </c>
    </row>
    <row r="9" spans="1:61" s="83" customFormat="1" ht="24" customHeight="1">
      <c r="A9" s="105" t="str">
        <f>'Expense Sheet'!A4</f>
        <v>Rent &amp; Utilities</v>
      </c>
      <c r="B9" s="91">
        <f>'Expense Sheet'!B4</f>
        <v>16000</v>
      </c>
      <c r="C9" s="91">
        <f>'Expense Sheet'!C4</f>
        <v>16000</v>
      </c>
      <c r="D9" s="91">
        <f>'Expense Sheet'!D4</f>
        <v>16000</v>
      </c>
      <c r="E9" s="91">
        <f>'Expense Sheet'!E4</f>
        <v>16000</v>
      </c>
      <c r="F9" s="91">
        <f>'Expense Sheet'!F4</f>
        <v>16000</v>
      </c>
      <c r="G9" s="91">
        <f>'Expense Sheet'!G4</f>
        <v>16000</v>
      </c>
      <c r="H9" s="91">
        <f>'Expense Sheet'!H4</f>
        <v>16000</v>
      </c>
      <c r="I9" s="91">
        <f>'Expense Sheet'!I4</f>
        <v>16000</v>
      </c>
      <c r="J9" s="91">
        <f>'Expense Sheet'!J4</f>
        <v>16000</v>
      </c>
      <c r="K9" s="91">
        <f>'Expense Sheet'!K4</f>
        <v>16000</v>
      </c>
      <c r="L9" s="91">
        <f>'Expense Sheet'!L4</f>
        <v>16000</v>
      </c>
      <c r="M9" s="91">
        <f>'Expense Sheet'!M4</f>
        <v>16000</v>
      </c>
      <c r="N9" s="91">
        <f>'Expense Sheet'!N4</f>
        <v>16480</v>
      </c>
      <c r="O9" s="91">
        <f>'Expense Sheet'!O4</f>
        <v>16480</v>
      </c>
      <c r="P9" s="91">
        <f>'Expense Sheet'!P4</f>
        <v>16480</v>
      </c>
      <c r="Q9" s="91">
        <f>'Expense Sheet'!Q4</f>
        <v>16480</v>
      </c>
      <c r="R9" s="91">
        <f>'Expense Sheet'!R4</f>
        <v>16480</v>
      </c>
      <c r="S9" s="91">
        <f>'Expense Sheet'!S4</f>
        <v>16480</v>
      </c>
      <c r="T9" s="91">
        <f>'Expense Sheet'!T4</f>
        <v>16480</v>
      </c>
      <c r="U9" s="91">
        <f>'Expense Sheet'!U4</f>
        <v>16480</v>
      </c>
      <c r="V9" s="91">
        <f>'Expense Sheet'!V4</f>
        <v>16480</v>
      </c>
      <c r="W9" s="91">
        <f>'Expense Sheet'!W4</f>
        <v>16480</v>
      </c>
      <c r="X9" s="91">
        <f>'Expense Sheet'!X4</f>
        <v>16480</v>
      </c>
      <c r="Y9" s="91">
        <f>'Expense Sheet'!Y4</f>
        <v>16480</v>
      </c>
      <c r="Z9" s="91">
        <f>'Expense Sheet'!Z4</f>
        <v>16974.400000000001</v>
      </c>
      <c r="AA9" s="91">
        <f>'Expense Sheet'!AA4</f>
        <v>16974.400000000001</v>
      </c>
      <c r="AB9" s="91">
        <f>'Expense Sheet'!AB4</f>
        <v>16974.400000000001</v>
      </c>
      <c r="AC9" s="91">
        <f>'Expense Sheet'!AC4</f>
        <v>16974.400000000001</v>
      </c>
      <c r="AD9" s="91">
        <f>'Expense Sheet'!AD4</f>
        <v>16974.400000000001</v>
      </c>
      <c r="AE9" s="91">
        <f>'Expense Sheet'!AE4</f>
        <v>16974.400000000001</v>
      </c>
      <c r="AF9" s="91">
        <f>'Expense Sheet'!AF4</f>
        <v>16974.400000000001</v>
      </c>
      <c r="AG9" s="91">
        <f>'Expense Sheet'!AG4</f>
        <v>16974.400000000001</v>
      </c>
      <c r="AH9" s="91">
        <f>'Expense Sheet'!AH4</f>
        <v>16974.400000000001</v>
      </c>
      <c r="AI9" s="91">
        <f>'Expense Sheet'!AI4</f>
        <v>16974.400000000001</v>
      </c>
      <c r="AJ9" s="91">
        <f>'Expense Sheet'!AJ4</f>
        <v>16974.400000000001</v>
      </c>
      <c r="AK9" s="91">
        <f>'Expense Sheet'!AK4</f>
        <v>16974.400000000001</v>
      </c>
      <c r="AL9" s="91">
        <f>'Expense Sheet'!AL4</f>
        <v>17483.632000000001</v>
      </c>
      <c r="AM9" s="91">
        <f>'Expense Sheet'!AM4</f>
        <v>17483.632000000001</v>
      </c>
      <c r="AN9" s="91">
        <f>'Expense Sheet'!AN4</f>
        <v>17483.632000000001</v>
      </c>
      <c r="AO9" s="91">
        <f>'Expense Sheet'!AO4</f>
        <v>17483.632000000001</v>
      </c>
      <c r="AP9" s="91">
        <f>'Expense Sheet'!AP4</f>
        <v>17483.632000000001</v>
      </c>
      <c r="AQ9" s="91">
        <f>'Expense Sheet'!AQ4</f>
        <v>17483.632000000001</v>
      </c>
      <c r="AR9" s="91">
        <f>'Expense Sheet'!AR4</f>
        <v>17483.632000000001</v>
      </c>
      <c r="AS9" s="91">
        <f>'Expense Sheet'!AS4</f>
        <v>17483.632000000001</v>
      </c>
      <c r="AT9" s="91">
        <f>'Expense Sheet'!AT4</f>
        <v>17483.632000000001</v>
      </c>
      <c r="AU9" s="91">
        <f>'Expense Sheet'!AU4</f>
        <v>17483.632000000001</v>
      </c>
      <c r="AV9" s="91">
        <f>'Expense Sheet'!AV4</f>
        <v>17483.632000000001</v>
      </c>
      <c r="AW9" s="91">
        <f>'Expense Sheet'!AW4</f>
        <v>17483.632000000001</v>
      </c>
      <c r="AX9" s="91">
        <f>'Expense Sheet'!AX4</f>
        <v>18008.140960000001</v>
      </c>
      <c r="AY9" s="91">
        <f>'Expense Sheet'!AY4</f>
        <v>18008.140960000001</v>
      </c>
      <c r="AZ9" s="91">
        <f>'Expense Sheet'!AZ4</f>
        <v>18008.140960000001</v>
      </c>
      <c r="BA9" s="91">
        <f>'Expense Sheet'!BA4</f>
        <v>18008.140960000001</v>
      </c>
      <c r="BB9" s="91">
        <f>'Expense Sheet'!BB4</f>
        <v>18008.140960000001</v>
      </c>
      <c r="BC9" s="91">
        <f>'Expense Sheet'!BC4</f>
        <v>18008.140960000001</v>
      </c>
      <c r="BD9" s="91">
        <f>'Expense Sheet'!BD4</f>
        <v>18008.140960000001</v>
      </c>
      <c r="BE9" s="91">
        <f>'Expense Sheet'!BE4</f>
        <v>18008.140960000001</v>
      </c>
      <c r="BF9" s="91">
        <f>'Expense Sheet'!BF4</f>
        <v>18008.140960000001</v>
      </c>
      <c r="BG9" s="91">
        <f>'Expense Sheet'!BG4</f>
        <v>18008.140960000001</v>
      </c>
      <c r="BH9" s="91">
        <f>'Expense Sheet'!BH4</f>
        <v>18008.140960000001</v>
      </c>
      <c r="BI9" s="91">
        <f>'Expense Sheet'!BI4</f>
        <v>18008.140960000001</v>
      </c>
    </row>
    <row r="10" spans="1:61" s="83" customFormat="1">
      <c r="A10" s="105" t="str">
        <f>'Expense Sheet'!A5</f>
        <v>Regulatory &amp; Compliance</v>
      </c>
      <c r="B10" s="91">
        <f>'Expense Sheet'!B5</f>
        <v>9100</v>
      </c>
      <c r="C10" s="91">
        <f>'Expense Sheet'!C5</f>
        <v>9100</v>
      </c>
      <c r="D10" s="91">
        <f>'Expense Sheet'!D5</f>
        <v>9100</v>
      </c>
      <c r="E10" s="91">
        <f>'Expense Sheet'!E5</f>
        <v>9100</v>
      </c>
      <c r="F10" s="91">
        <f>'Expense Sheet'!F5</f>
        <v>9100</v>
      </c>
      <c r="G10" s="91">
        <f>'Expense Sheet'!G5</f>
        <v>9100</v>
      </c>
      <c r="H10" s="91">
        <f>'Expense Sheet'!H5</f>
        <v>9100</v>
      </c>
      <c r="I10" s="91">
        <f>'Expense Sheet'!I5</f>
        <v>9100</v>
      </c>
      <c r="J10" s="91">
        <f>'Expense Sheet'!J5</f>
        <v>9100</v>
      </c>
      <c r="K10" s="91">
        <f>'Expense Sheet'!K5</f>
        <v>9100</v>
      </c>
      <c r="L10" s="91">
        <f>'Expense Sheet'!L5</f>
        <v>9100</v>
      </c>
      <c r="M10" s="91">
        <f>'Expense Sheet'!M5</f>
        <v>9100</v>
      </c>
      <c r="N10" s="91">
        <f>'Expense Sheet'!N5</f>
        <v>18200</v>
      </c>
      <c r="O10" s="91">
        <f>'Expense Sheet'!O5</f>
        <v>18200</v>
      </c>
      <c r="P10" s="91">
        <f>'Expense Sheet'!P5</f>
        <v>18200</v>
      </c>
      <c r="Q10" s="91">
        <f>'Expense Sheet'!Q5</f>
        <v>18200</v>
      </c>
      <c r="R10" s="91">
        <f>'Expense Sheet'!R5</f>
        <v>18200</v>
      </c>
      <c r="S10" s="91">
        <f>'Expense Sheet'!S5</f>
        <v>18200</v>
      </c>
      <c r="T10" s="91">
        <f>'Expense Sheet'!T5</f>
        <v>18200</v>
      </c>
      <c r="U10" s="91">
        <f>'Expense Sheet'!U5</f>
        <v>18200</v>
      </c>
      <c r="V10" s="91">
        <f>'Expense Sheet'!V5</f>
        <v>18200</v>
      </c>
      <c r="W10" s="91">
        <f>'Expense Sheet'!W5</f>
        <v>18200</v>
      </c>
      <c r="X10" s="91">
        <f>'Expense Sheet'!X5</f>
        <v>18200</v>
      </c>
      <c r="Y10" s="91">
        <f>'Expense Sheet'!Y5</f>
        <v>18200</v>
      </c>
      <c r="Z10" s="91">
        <f>'Expense Sheet'!Z5</f>
        <v>36400</v>
      </c>
      <c r="AA10" s="91">
        <f>'Expense Sheet'!AA5</f>
        <v>36400</v>
      </c>
      <c r="AB10" s="91">
        <f>'Expense Sheet'!AB5</f>
        <v>36400</v>
      </c>
      <c r="AC10" s="91">
        <f>'Expense Sheet'!AC5</f>
        <v>36400</v>
      </c>
      <c r="AD10" s="91">
        <f>'Expense Sheet'!AD5</f>
        <v>36400</v>
      </c>
      <c r="AE10" s="91">
        <f>'Expense Sheet'!AE5</f>
        <v>36400</v>
      </c>
      <c r="AF10" s="91">
        <f>'Expense Sheet'!AF5</f>
        <v>36400</v>
      </c>
      <c r="AG10" s="91">
        <f>'Expense Sheet'!AG5</f>
        <v>36400</v>
      </c>
      <c r="AH10" s="91">
        <f>'Expense Sheet'!AH5</f>
        <v>36400</v>
      </c>
      <c r="AI10" s="91">
        <f>'Expense Sheet'!AI5</f>
        <v>36400</v>
      </c>
      <c r="AJ10" s="91">
        <f>'Expense Sheet'!AJ5</f>
        <v>36400</v>
      </c>
      <c r="AK10" s="91">
        <f>'Expense Sheet'!AK5</f>
        <v>36400</v>
      </c>
      <c r="AL10" s="91">
        <f>'Expense Sheet'!AL5</f>
        <v>72800</v>
      </c>
      <c r="AM10" s="91">
        <f>'Expense Sheet'!AM5</f>
        <v>72800</v>
      </c>
      <c r="AN10" s="91">
        <f>'Expense Sheet'!AN5</f>
        <v>72800</v>
      </c>
      <c r="AO10" s="91">
        <f>'Expense Sheet'!AO5</f>
        <v>72800</v>
      </c>
      <c r="AP10" s="91">
        <f>'Expense Sheet'!AP5</f>
        <v>72800</v>
      </c>
      <c r="AQ10" s="91">
        <f>'Expense Sheet'!AQ5</f>
        <v>72800</v>
      </c>
      <c r="AR10" s="91">
        <f>'Expense Sheet'!AR5</f>
        <v>72800</v>
      </c>
      <c r="AS10" s="91">
        <f>'Expense Sheet'!AS5</f>
        <v>72800</v>
      </c>
      <c r="AT10" s="91">
        <f>'Expense Sheet'!AT5</f>
        <v>72800</v>
      </c>
      <c r="AU10" s="91">
        <f>'Expense Sheet'!AU5</f>
        <v>72800</v>
      </c>
      <c r="AV10" s="91">
        <f>'Expense Sheet'!AV5</f>
        <v>72800</v>
      </c>
      <c r="AW10" s="91">
        <f>'Expense Sheet'!AW5</f>
        <v>72800</v>
      </c>
      <c r="AX10" s="91">
        <f>'Expense Sheet'!AX5</f>
        <v>145600</v>
      </c>
      <c r="AY10" s="91">
        <f>'Expense Sheet'!AY5</f>
        <v>145600</v>
      </c>
      <c r="AZ10" s="91">
        <f>'Expense Sheet'!AZ5</f>
        <v>145600</v>
      </c>
      <c r="BA10" s="91">
        <f>'Expense Sheet'!BA5</f>
        <v>145600</v>
      </c>
      <c r="BB10" s="91">
        <f>'Expense Sheet'!BB5</f>
        <v>145600</v>
      </c>
      <c r="BC10" s="91">
        <f>'Expense Sheet'!BC5</f>
        <v>145600</v>
      </c>
      <c r="BD10" s="91">
        <f>'Expense Sheet'!BD5</f>
        <v>145600</v>
      </c>
      <c r="BE10" s="91">
        <f>'Expense Sheet'!BE5</f>
        <v>145600</v>
      </c>
      <c r="BF10" s="91">
        <f>'Expense Sheet'!BF5</f>
        <v>145600</v>
      </c>
      <c r="BG10" s="91">
        <f>'Expense Sheet'!BG5</f>
        <v>145600</v>
      </c>
      <c r="BH10" s="91">
        <f>'Expense Sheet'!BH5</f>
        <v>145600</v>
      </c>
      <c r="BI10" s="91">
        <f>'Expense Sheet'!BI5</f>
        <v>145600</v>
      </c>
    </row>
    <row r="11" spans="1:61" s="83" customFormat="1">
      <c r="A11" s="105" t="str">
        <f>'Expense Sheet'!A6</f>
        <v>Maintenance &amp; Equipment Upkeep</v>
      </c>
      <c r="B11" s="91">
        <f>'Expense Sheet'!B6</f>
        <v>11500</v>
      </c>
      <c r="C11" s="91">
        <f>'Expense Sheet'!C6</f>
        <v>11500</v>
      </c>
      <c r="D11" s="91">
        <f>'Expense Sheet'!D6</f>
        <v>11500</v>
      </c>
      <c r="E11" s="91">
        <f>'Expense Sheet'!E6</f>
        <v>11500</v>
      </c>
      <c r="F11" s="91">
        <f>'Expense Sheet'!F6</f>
        <v>11500</v>
      </c>
      <c r="G11" s="91">
        <f>'Expense Sheet'!G6</f>
        <v>11500</v>
      </c>
      <c r="H11" s="91">
        <f>'Expense Sheet'!H6</f>
        <v>11500</v>
      </c>
      <c r="I11" s="91">
        <f>'Expense Sheet'!I6</f>
        <v>11500</v>
      </c>
      <c r="J11" s="91">
        <f>'Expense Sheet'!J6</f>
        <v>11500</v>
      </c>
      <c r="K11" s="91">
        <f>'Expense Sheet'!K6</f>
        <v>11500</v>
      </c>
      <c r="L11" s="91">
        <f>'Expense Sheet'!L6</f>
        <v>11500</v>
      </c>
      <c r="M11" s="91">
        <f>'Expense Sheet'!M6</f>
        <v>11500</v>
      </c>
      <c r="N11" s="91">
        <f>'Expense Sheet'!N6</f>
        <v>23000</v>
      </c>
      <c r="O11" s="91">
        <f>'Expense Sheet'!O6</f>
        <v>23000</v>
      </c>
      <c r="P11" s="91">
        <f>'Expense Sheet'!P6</f>
        <v>23000</v>
      </c>
      <c r="Q11" s="91">
        <f>'Expense Sheet'!Q6</f>
        <v>23000</v>
      </c>
      <c r="R11" s="91">
        <f>'Expense Sheet'!R6</f>
        <v>23000</v>
      </c>
      <c r="S11" s="91">
        <f>'Expense Sheet'!S6</f>
        <v>23000</v>
      </c>
      <c r="T11" s="91">
        <f>'Expense Sheet'!T6</f>
        <v>23000</v>
      </c>
      <c r="U11" s="91">
        <f>'Expense Sheet'!U6</f>
        <v>23000</v>
      </c>
      <c r="V11" s="91">
        <f>'Expense Sheet'!V6</f>
        <v>23000</v>
      </c>
      <c r="W11" s="91">
        <f>'Expense Sheet'!W6</f>
        <v>23000</v>
      </c>
      <c r="X11" s="91">
        <f>'Expense Sheet'!X6</f>
        <v>23000</v>
      </c>
      <c r="Y11" s="91">
        <f>'Expense Sheet'!Y6</f>
        <v>23000</v>
      </c>
      <c r="Z11" s="91">
        <f>'Expense Sheet'!Z6</f>
        <v>46000</v>
      </c>
      <c r="AA11" s="91">
        <f>'Expense Sheet'!AA6</f>
        <v>46000</v>
      </c>
      <c r="AB11" s="91">
        <f>'Expense Sheet'!AB6</f>
        <v>46000</v>
      </c>
      <c r="AC11" s="91">
        <f>'Expense Sheet'!AC6</f>
        <v>46000</v>
      </c>
      <c r="AD11" s="91">
        <f>'Expense Sheet'!AD6</f>
        <v>46000</v>
      </c>
      <c r="AE11" s="91">
        <f>'Expense Sheet'!AE6</f>
        <v>46000</v>
      </c>
      <c r="AF11" s="91">
        <f>'Expense Sheet'!AF6</f>
        <v>46000</v>
      </c>
      <c r="AG11" s="91">
        <f>'Expense Sheet'!AG6</f>
        <v>46000</v>
      </c>
      <c r="AH11" s="91">
        <f>'Expense Sheet'!AH6</f>
        <v>46000</v>
      </c>
      <c r="AI11" s="91">
        <f>'Expense Sheet'!AI6</f>
        <v>46000</v>
      </c>
      <c r="AJ11" s="91">
        <f>'Expense Sheet'!AJ6</f>
        <v>46000</v>
      </c>
      <c r="AK11" s="91">
        <f>'Expense Sheet'!AK6</f>
        <v>46000</v>
      </c>
      <c r="AL11" s="91">
        <f>'Expense Sheet'!AL6</f>
        <v>92000</v>
      </c>
      <c r="AM11" s="91">
        <f>'Expense Sheet'!AM6</f>
        <v>92000</v>
      </c>
      <c r="AN11" s="91">
        <f>'Expense Sheet'!AN6</f>
        <v>92000</v>
      </c>
      <c r="AO11" s="91">
        <f>'Expense Sheet'!AO6</f>
        <v>92000</v>
      </c>
      <c r="AP11" s="91">
        <f>'Expense Sheet'!AP6</f>
        <v>92000</v>
      </c>
      <c r="AQ11" s="91">
        <f>'Expense Sheet'!AQ6</f>
        <v>92000</v>
      </c>
      <c r="AR11" s="91">
        <f>'Expense Sheet'!AR6</f>
        <v>92000</v>
      </c>
      <c r="AS11" s="91">
        <f>'Expense Sheet'!AS6</f>
        <v>92000</v>
      </c>
      <c r="AT11" s="91">
        <f>'Expense Sheet'!AT6</f>
        <v>92000</v>
      </c>
      <c r="AU11" s="91">
        <f>'Expense Sheet'!AU6</f>
        <v>92000</v>
      </c>
      <c r="AV11" s="91">
        <f>'Expense Sheet'!AV6</f>
        <v>92000</v>
      </c>
      <c r="AW11" s="91">
        <f>'Expense Sheet'!AW6</f>
        <v>92000</v>
      </c>
      <c r="AX11" s="91">
        <f>'Expense Sheet'!AX6</f>
        <v>184000</v>
      </c>
      <c r="AY11" s="91">
        <f>'Expense Sheet'!AY6</f>
        <v>184000</v>
      </c>
      <c r="AZ11" s="91">
        <f>'Expense Sheet'!AZ6</f>
        <v>184000</v>
      </c>
      <c r="BA11" s="91">
        <f>'Expense Sheet'!BA6</f>
        <v>184000</v>
      </c>
      <c r="BB11" s="91">
        <f>'Expense Sheet'!BB6</f>
        <v>184000</v>
      </c>
      <c r="BC11" s="91">
        <f>'Expense Sheet'!BC6</f>
        <v>184000</v>
      </c>
      <c r="BD11" s="91">
        <f>'Expense Sheet'!BD6</f>
        <v>184000</v>
      </c>
      <c r="BE11" s="91">
        <f>'Expense Sheet'!BE6</f>
        <v>184000</v>
      </c>
      <c r="BF11" s="91">
        <f>'Expense Sheet'!BF6</f>
        <v>184000</v>
      </c>
      <c r="BG11" s="91">
        <f>'Expense Sheet'!BG6</f>
        <v>184000</v>
      </c>
      <c r="BH11" s="91">
        <f>'Expense Sheet'!BH6</f>
        <v>184000</v>
      </c>
      <c r="BI11" s="91">
        <f>'Expense Sheet'!BI6</f>
        <v>184000</v>
      </c>
    </row>
    <row r="12" spans="1:61" s="83" customFormat="1">
      <c r="A12" s="105" t="str">
        <f>'Expense Sheet'!A7</f>
        <v>Insurance &amp; Security</v>
      </c>
      <c r="B12" s="91">
        <f>'Expense Sheet'!B7</f>
        <v>8000</v>
      </c>
      <c r="C12" s="91">
        <f>'Expense Sheet'!C7</f>
        <v>8000</v>
      </c>
      <c r="D12" s="91">
        <f>'Expense Sheet'!D7</f>
        <v>8000</v>
      </c>
      <c r="E12" s="91">
        <f>'Expense Sheet'!E7</f>
        <v>8000</v>
      </c>
      <c r="F12" s="91">
        <f>'Expense Sheet'!F7</f>
        <v>8000</v>
      </c>
      <c r="G12" s="91">
        <f>'Expense Sheet'!G7</f>
        <v>8000</v>
      </c>
      <c r="H12" s="91">
        <f>'Expense Sheet'!H7</f>
        <v>8000</v>
      </c>
      <c r="I12" s="91">
        <f>'Expense Sheet'!I7</f>
        <v>8000</v>
      </c>
      <c r="J12" s="91">
        <f>'Expense Sheet'!J7</f>
        <v>8000</v>
      </c>
      <c r="K12" s="91">
        <f>'Expense Sheet'!K7</f>
        <v>8000</v>
      </c>
      <c r="L12" s="91">
        <f>'Expense Sheet'!L7</f>
        <v>8000</v>
      </c>
      <c r="M12" s="91">
        <f>'Expense Sheet'!M7</f>
        <v>8000</v>
      </c>
      <c r="N12" s="91">
        <f>'Expense Sheet'!N7</f>
        <v>16000</v>
      </c>
      <c r="O12" s="91">
        <f>'Expense Sheet'!O7</f>
        <v>16000</v>
      </c>
      <c r="P12" s="91">
        <f>'Expense Sheet'!P7</f>
        <v>16000</v>
      </c>
      <c r="Q12" s="91">
        <f>'Expense Sheet'!Q7</f>
        <v>16000</v>
      </c>
      <c r="R12" s="91">
        <f>'Expense Sheet'!R7</f>
        <v>16000</v>
      </c>
      <c r="S12" s="91">
        <f>'Expense Sheet'!S7</f>
        <v>16000</v>
      </c>
      <c r="T12" s="91">
        <f>'Expense Sheet'!T7</f>
        <v>16000</v>
      </c>
      <c r="U12" s="91">
        <f>'Expense Sheet'!U7</f>
        <v>16000</v>
      </c>
      <c r="V12" s="91">
        <f>'Expense Sheet'!V7</f>
        <v>16000</v>
      </c>
      <c r="W12" s="91">
        <f>'Expense Sheet'!W7</f>
        <v>16000</v>
      </c>
      <c r="X12" s="91">
        <f>'Expense Sheet'!X7</f>
        <v>16000</v>
      </c>
      <c r="Y12" s="91">
        <f>'Expense Sheet'!Y7</f>
        <v>16000</v>
      </c>
      <c r="Z12" s="91">
        <f>'Expense Sheet'!Z7</f>
        <v>32000</v>
      </c>
      <c r="AA12" s="91">
        <f>'Expense Sheet'!AA7</f>
        <v>32000</v>
      </c>
      <c r="AB12" s="91">
        <f>'Expense Sheet'!AB7</f>
        <v>32000</v>
      </c>
      <c r="AC12" s="91">
        <f>'Expense Sheet'!AC7</f>
        <v>32000</v>
      </c>
      <c r="AD12" s="91">
        <f>'Expense Sheet'!AD7</f>
        <v>32000</v>
      </c>
      <c r="AE12" s="91">
        <f>'Expense Sheet'!AE7</f>
        <v>32000</v>
      </c>
      <c r="AF12" s="91">
        <f>'Expense Sheet'!AF7</f>
        <v>32000</v>
      </c>
      <c r="AG12" s="91">
        <f>'Expense Sheet'!AG7</f>
        <v>32000</v>
      </c>
      <c r="AH12" s="91">
        <f>'Expense Sheet'!AH7</f>
        <v>32000</v>
      </c>
      <c r="AI12" s="91">
        <f>'Expense Sheet'!AI7</f>
        <v>32000</v>
      </c>
      <c r="AJ12" s="91">
        <f>'Expense Sheet'!AJ7</f>
        <v>32000</v>
      </c>
      <c r="AK12" s="91">
        <f>'Expense Sheet'!AK7</f>
        <v>32000</v>
      </c>
      <c r="AL12" s="91">
        <f>'Expense Sheet'!AL7</f>
        <v>64000</v>
      </c>
      <c r="AM12" s="91">
        <f>'Expense Sheet'!AM7</f>
        <v>64000</v>
      </c>
      <c r="AN12" s="91">
        <f>'Expense Sheet'!AN7</f>
        <v>64000</v>
      </c>
      <c r="AO12" s="91">
        <f>'Expense Sheet'!AO7</f>
        <v>64000</v>
      </c>
      <c r="AP12" s="91">
        <f>'Expense Sheet'!AP7</f>
        <v>64000</v>
      </c>
      <c r="AQ12" s="91">
        <f>'Expense Sheet'!AQ7</f>
        <v>64000</v>
      </c>
      <c r="AR12" s="91">
        <f>'Expense Sheet'!AR7</f>
        <v>64000</v>
      </c>
      <c r="AS12" s="91">
        <f>'Expense Sheet'!AS7</f>
        <v>64000</v>
      </c>
      <c r="AT12" s="91">
        <f>'Expense Sheet'!AT7</f>
        <v>64000</v>
      </c>
      <c r="AU12" s="91">
        <f>'Expense Sheet'!AU7</f>
        <v>64000</v>
      </c>
      <c r="AV12" s="91">
        <f>'Expense Sheet'!AV7</f>
        <v>64000</v>
      </c>
      <c r="AW12" s="91">
        <f>'Expense Sheet'!AW7</f>
        <v>64000</v>
      </c>
      <c r="AX12" s="91">
        <f>'Expense Sheet'!AX7</f>
        <v>128000</v>
      </c>
      <c r="AY12" s="91">
        <f>'Expense Sheet'!AY7</f>
        <v>128000</v>
      </c>
      <c r="AZ12" s="91">
        <f>'Expense Sheet'!AZ7</f>
        <v>128000</v>
      </c>
      <c r="BA12" s="91">
        <f>'Expense Sheet'!BA7</f>
        <v>128000</v>
      </c>
      <c r="BB12" s="91">
        <f>'Expense Sheet'!BB7</f>
        <v>128000</v>
      </c>
      <c r="BC12" s="91">
        <f>'Expense Sheet'!BC7</f>
        <v>128000</v>
      </c>
      <c r="BD12" s="91">
        <f>'Expense Sheet'!BD7</f>
        <v>128000</v>
      </c>
      <c r="BE12" s="91">
        <f>'Expense Sheet'!BE7</f>
        <v>128000</v>
      </c>
      <c r="BF12" s="91">
        <f>'Expense Sheet'!BF7</f>
        <v>128000</v>
      </c>
      <c r="BG12" s="91">
        <f>'Expense Sheet'!BG7</f>
        <v>128000</v>
      </c>
      <c r="BH12" s="91">
        <f>'Expense Sheet'!BH7</f>
        <v>128000</v>
      </c>
      <c r="BI12" s="91">
        <f>'Expense Sheet'!BI7</f>
        <v>128000</v>
      </c>
    </row>
    <row r="13" spans="1:61" s="83" customFormat="1">
      <c r="A13" s="105" t="str">
        <f>'Expense Sheet'!A8</f>
        <v>Marketing &amp; Advertising</v>
      </c>
      <c r="B13" s="91">
        <f>'Expense Sheet'!B8</f>
        <v>18375</v>
      </c>
      <c r="C13" s="91">
        <f>'Expense Sheet'!C8</f>
        <v>18926.250000000007</v>
      </c>
      <c r="D13" s="91">
        <f>'Expense Sheet'!D8</f>
        <v>19494.037500000002</v>
      </c>
      <c r="E13" s="91">
        <f>'Expense Sheet'!E8</f>
        <v>20078.858625000004</v>
      </c>
      <c r="F13" s="91">
        <f>'Expense Sheet'!F8</f>
        <v>20681.224383750003</v>
      </c>
      <c r="G13" s="91">
        <f>'Expense Sheet'!G8</f>
        <v>21301.661115262505</v>
      </c>
      <c r="H13" s="91">
        <f>'Expense Sheet'!H8</f>
        <v>21940.710948720382</v>
      </c>
      <c r="I13" s="91">
        <f>'Expense Sheet'!I8</f>
        <v>22598.932277181993</v>
      </c>
      <c r="J13" s="91">
        <f>'Expense Sheet'!J8</f>
        <v>23276.900245497451</v>
      </c>
      <c r="K13" s="91">
        <f>'Expense Sheet'!K8</f>
        <v>23975.207252862376</v>
      </c>
      <c r="L13" s="91">
        <f>'Expense Sheet'!L8</f>
        <v>24694.463470448249</v>
      </c>
      <c r="M13" s="91">
        <f>'Expense Sheet'!M8</f>
        <v>25435.297374561695</v>
      </c>
      <c r="N13" s="91">
        <f>'Expense Sheet'!N8</f>
        <v>36728.827112017869</v>
      </c>
      <c r="O13" s="91">
        <f>'Expense Sheet'!O8</f>
        <v>40401.709823219659</v>
      </c>
      <c r="P13" s="91">
        <f>'Expense Sheet'!P8</f>
        <v>44441.880805541623</v>
      </c>
      <c r="Q13" s="91">
        <f>'Expense Sheet'!Q8</f>
        <v>48886.068886095789</v>
      </c>
      <c r="R13" s="91">
        <f>'Expense Sheet'!R8</f>
        <v>53774.675774705371</v>
      </c>
      <c r="S13" s="91">
        <f>'Expense Sheet'!S8</f>
        <v>59152.143352175917</v>
      </c>
      <c r="T13" s="91">
        <f>'Expense Sheet'!T8</f>
        <v>65067.357687393509</v>
      </c>
      <c r="U13" s="91">
        <f>'Expense Sheet'!U8</f>
        <v>71574.093456132861</v>
      </c>
      <c r="V13" s="91">
        <f>'Expense Sheet'!V8</f>
        <v>78731.502801746159</v>
      </c>
      <c r="W13" s="91">
        <f>'Expense Sheet'!W8</f>
        <v>86604.653081920769</v>
      </c>
      <c r="X13" s="91">
        <f>'Expense Sheet'!X8</f>
        <v>95265.118390112868</v>
      </c>
      <c r="Y13" s="91">
        <f>'Expense Sheet'!Y8</f>
        <v>104791.63022912416</v>
      </c>
      <c r="Z13" s="91">
        <f>'Expense Sheet'!Z8</f>
        <v>110031.21174058034</v>
      </c>
      <c r="AA13" s="91">
        <f>'Expense Sheet'!AA8</f>
        <v>115532.77232760939</v>
      </c>
      <c r="AB13" s="91">
        <f>'Expense Sheet'!AB8</f>
        <v>121309.41094398986</v>
      </c>
      <c r="AC13" s="91">
        <f>'Expense Sheet'!AC8</f>
        <v>127374.88149118934</v>
      </c>
      <c r="AD13" s="91">
        <f>'Expense Sheet'!AD8</f>
        <v>133743.62556574881</v>
      </c>
      <c r="AE13" s="91">
        <f>'Expense Sheet'!AE8</f>
        <v>140430.80684403627</v>
      </c>
      <c r="AF13" s="91">
        <f>'Expense Sheet'!AF8</f>
        <v>147452.3471862381</v>
      </c>
      <c r="AG13" s="91">
        <f>'Expense Sheet'!AG8</f>
        <v>154824.96454555</v>
      </c>
      <c r="AH13" s="91">
        <f>'Expense Sheet'!AH8</f>
        <v>162566.21277282754</v>
      </c>
      <c r="AI13" s="91">
        <f>'Expense Sheet'!AI8</f>
        <v>170694.52341146889</v>
      </c>
      <c r="AJ13" s="91">
        <f>'Expense Sheet'!AJ8</f>
        <v>179229.24958204236</v>
      </c>
      <c r="AK13" s="91">
        <f>'Expense Sheet'!AK8</f>
        <v>188190.7120611445</v>
      </c>
      <c r="AL13" s="91">
        <f>'Expense Sheet'!AL8</f>
        <v>197600.24766420171</v>
      </c>
      <c r="AM13" s="91">
        <f>'Expense Sheet'!AM8</f>
        <v>207480.26004741181</v>
      </c>
      <c r="AN13" s="91">
        <f>'Expense Sheet'!AN8</f>
        <v>217854.27304978241</v>
      </c>
      <c r="AO13" s="91">
        <f>'Expense Sheet'!AO8</f>
        <v>228746.9867022715</v>
      </c>
      <c r="AP13" s="91">
        <f>'Expense Sheet'!AP8</f>
        <v>240184.33603738513</v>
      </c>
      <c r="AQ13" s="91">
        <f>'Expense Sheet'!AQ8</f>
        <v>252193.55283925441</v>
      </c>
      <c r="AR13" s="91">
        <f>'Expense Sheet'!AR8</f>
        <v>264803.23048121709</v>
      </c>
      <c r="AS13" s="91">
        <f>'Expense Sheet'!AS8</f>
        <v>278043.39200527797</v>
      </c>
      <c r="AT13" s="91">
        <f>'Expense Sheet'!AT8</f>
        <v>291945.56160554185</v>
      </c>
      <c r="AU13" s="91">
        <f>'Expense Sheet'!AU8</f>
        <v>306542.83968581905</v>
      </c>
      <c r="AV13" s="91">
        <f>'Expense Sheet'!AV8</f>
        <v>321869.9816701099</v>
      </c>
      <c r="AW13" s="91">
        <f>'Expense Sheet'!AW8</f>
        <v>337963.48075361544</v>
      </c>
      <c r="AX13" s="91">
        <f>'Expense Sheet'!AX8</f>
        <v>354861.65479129617</v>
      </c>
      <c r="AY13" s="91">
        <f>'Expense Sheet'!AY8</f>
        <v>372604.73753086099</v>
      </c>
      <c r="AZ13" s="91">
        <f>'Expense Sheet'!AZ8</f>
        <v>391234.97440740414</v>
      </c>
      <c r="BA13" s="91">
        <f>'Expense Sheet'!BA8</f>
        <v>410796.72312777437</v>
      </c>
      <c r="BB13" s="91">
        <f>'Expense Sheet'!BB8</f>
        <v>431336.55928416312</v>
      </c>
      <c r="BC13" s="91">
        <f>'Expense Sheet'!BC8</f>
        <v>452903.38724837126</v>
      </c>
      <c r="BD13" s="91">
        <f>'Expense Sheet'!BD8</f>
        <v>475548.55661078985</v>
      </c>
      <c r="BE13" s="91">
        <f>'Expense Sheet'!BE8</f>
        <v>499325.98444132938</v>
      </c>
      <c r="BF13" s="91">
        <f>'Expense Sheet'!BF8</f>
        <v>524292.28366339579</v>
      </c>
      <c r="BG13" s="91">
        <f>'Expense Sheet'!BG8</f>
        <v>550506.89784656558</v>
      </c>
      <c r="BH13" s="91">
        <f>'Expense Sheet'!BH8</f>
        <v>578032.24273889395</v>
      </c>
      <c r="BI13" s="91">
        <f>'Expense Sheet'!BI8</f>
        <v>606933.85487583873</v>
      </c>
    </row>
    <row r="14" spans="1:61" s="83" customFormat="1">
      <c r="A14" s="105" t="str">
        <f>'Expense Sheet'!A9</f>
        <v>R&amp;D &amp; Prototyping</v>
      </c>
      <c r="B14" s="91">
        <f>'Expense Sheet'!B9</f>
        <v>5500</v>
      </c>
      <c r="C14" s="91">
        <f>'Expense Sheet'!C9</f>
        <v>5500</v>
      </c>
      <c r="D14" s="91">
        <f>'Expense Sheet'!D9</f>
        <v>5500</v>
      </c>
      <c r="E14" s="91">
        <f>'Expense Sheet'!E9</f>
        <v>5500</v>
      </c>
      <c r="F14" s="91">
        <f>'Expense Sheet'!F9</f>
        <v>5500</v>
      </c>
      <c r="G14" s="91">
        <f>'Expense Sheet'!G9</f>
        <v>5500</v>
      </c>
      <c r="H14" s="91">
        <f>'Expense Sheet'!H9</f>
        <v>5500</v>
      </c>
      <c r="I14" s="91">
        <f>'Expense Sheet'!I9</f>
        <v>5500</v>
      </c>
      <c r="J14" s="91">
        <f>'Expense Sheet'!J9</f>
        <v>5500</v>
      </c>
      <c r="K14" s="91">
        <f>'Expense Sheet'!K9</f>
        <v>5500</v>
      </c>
      <c r="L14" s="91">
        <f>'Expense Sheet'!L9</f>
        <v>5500</v>
      </c>
      <c r="M14" s="91">
        <f>'Expense Sheet'!M9</f>
        <v>5500</v>
      </c>
      <c r="N14" s="91">
        <f>'Expense Sheet'!N9</f>
        <v>11000</v>
      </c>
      <c r="O14" s="91">
        <f>'Expense Sheet'!O9</f>
        <v>11000</v>
      </c>
      <c r="P14" s="91">
        <f>'Expense Sheet'!P9</f>
        <v>11000</v>
      </c>
      <c r="Q14" s="91">
        <f>'Expense Sheet'!Q9</f>
        <v>11000</v>
      </c>
      <c r="R14" s="91">
        <f>'Expense Sheet'!R9</f>
        <v>11000</v>
      </c>
      <c r="S14" s="91">
        <f>'Expense Sheet'!S9</f>
        <v>11000</v>
      </c>
      <c r="T14" s="91">
        <f>'Expense Sheet'!T9</f>
        <v>11000</v>
      </c>
      <c r="U14" s="91">
        <f>'Expense Sheet'!U9</f>
        <v>11000</v>
      </c>
      <c r="V14" s="91">
        <f>'Expense Sheet'!V9</f>
        <v>11000</v>
      </c>
      <c r="W14" s="91">
        <f>'Expense Sheet'!W9</f>
        <v>11000</v>
      </c>
      <c r="X14" s="91">
        <f>'Expense Sheet'!X9</f>
        <v>11000</v>
      </c>
      <c r="Y14" s="91">
        <f>'Expense Sheet'!Y9</f>
        <v>11000</v>
      </c>
      <c r="Z14" s="91">
        <f>'Expense Sheet'!Z9</f>
        <v>22000</v>
      </c>
      <c r="AA14" s="91">
        <f>'Expense Sheet'!AA9</f>
        <v>22000</v>
      </c>
      <c r="AB14" s="91">
        <f>'Expense Sheet'!AB9</f>
        <v>22000</v>
      </c>
      <c r="AC14" s="91">
        <f>'Expense Sheet'!AC9</f>
        <v>22000</v>
      </c>
      <c r="AD14" s="91">
        <f>'Expense Sheet'!AD9</f>
        <v>22000</v>
      </c>
      <c r="AE14" s="91">
        <f>'Expense Sheet'!AE9</f>
        <v>22000</v>
      </c>
      <c r="AF14" s="91">
        <f>'Expense Sheet'!AF9</f>
        <v>22000</v>
      </c>
      <c r="AG14" s="91">
        <f>'Expense Sheet'!AG9</f>
        <v>22000</v>
      </c>
      <c r="AH14" s="91">
        <f>'Expense Sheet'!AH9</f>
        <v>22000</v>
      </c>
      <c r="AI14" s="91">
        <f>'Expense Sheet'!AI9</f>
        <v>22000</v>
      </c>
      <c r="AJ14" s="91">
        <f>'Expense Sheet'!AJ9</f>
        <v>22000</v>
      </c>
      <c r="AK14" s="91">
        <f>'Expense Sheet'!AK9</f>
        <v>22000</v>
      </c>
      <c r="AL14" s="91">
        <f>'Expense Sheet'!AL9</f>
        <v>44000</v>
      </c>
      <c r="AM14" s="91">
        <f>'Expense Sheet'!AM9</f>
        <v>44000</v>
      </c>
      <c r="AN14" s="91">
        <f>'Expense Sheet'!AN9</f>
        <v>44000</v>
      </c>
      <c r="AO14" s="91">
        <f>'Expense Sheet'!AO9</f>
        <v>44000</v>
      </c>
      <c r="AP14" s="91">
        <f>'Expense Sheet'!AP9</f>
        <v>44000</v>
      </c>
      <c r="AQ14" s="91">
        <f>'Expense Sheet'!AQ9</f>
        <v>44000</v>
      </c>
      <c r="AR14" s="91">
        <f>'Expense Sheet'!AR9</f>
        <v>44000</v>
      </c>
      <c r="AS14" s="91">
        <f>'Expense Sheet'!AS9</f>
        <v>44000</v>
      </c>
      <c r="AT14" s="91">
        <f>'Expense Sheet'!AT9</f>
        <v>44000</v>
      </c>
      <c r="AU14" s="91">
        <f>'Expense Sheet'!AU9</f>
        <v>44000</v>
      </c>
      <c r="AV14" s="91">
        <f>'Expense Sheet'!AV9</f>
        <v>44000</v>
      </c>
      <c r="AW14" s="91">
        <f>'Expense Sheet'!AW9</f>
        <v>44000</v>
      </c>
      <c r="AX14" s="91">
        <f>'Expense Sheet'!AX9</f>
        <v>88000</v>
      </c>
      <c r="AY14" s="91">
        <f>'Expense Sheet'!AY9</f>
        <v>88000</v>
      </c>
      <c r="AZ14" s="91">
        <f>'Expense Sheet'!AZ9</f>
        <v>88000</v>
      </c>
      <c r="BA14" s="91">
        <f>'Expense Sheet'!BA9</f>
        <v>88000</v>
      </c>
      <c r="BB14" s="91">
        <f>'Expense Sheet'!BB9</f>
        <v>88000</v>
      </c>
      <c r="BC14" s="91">
        <f>'Expense Sheet'!BC9</f>
        <v>88000</v>
      </c>
      <c r="BD14" s="91">
        <f>'Expense Sheet'!BD9</f>
        <v>88000</v>
      </c>
      <c r="BE14" s="91">
        <f>'Expense Sheet'!BE9</f>
        <v>88000</v>
      </c>
      <c r="BF14" s="91">
        <f>'Expense Sheet'!BF9</f>
        <v>88000</v>
      </c>
      <c r="BG14" s="91">
        <f>'Expense Sheet'!BG9</f>
        <v>88000</v>
      </c>
      <c r="BH14" s="91">
        <f>'Expense Sheet'!BH9</f>
        <v>88000</v>
      </c>
      <c r="BI14" s="91">
        <f>'Expense Sheet'!BI9</f>
        <v>88000</v>
      </c>
    </row>
    <row r="15" spans="1:61" s="83" customFormat="1">
      <c r="A15" s="105" t="str">
        <f>'Expense Sheet'!A10</f>
        <v>Miscellaneous Expenses</v>
      </c>
      <c r="B15" s="91">
        <f>'Expense Sheet'!B10</f>
        <v>1500</v>
      </c>
      <c r="C15" s="91">
        <f>'Expense Sheet'!C10</f>
        <v>1500</v>
      </c>
      <c r="D15" s="91">
        <f>'Expense Sheet'!D10</f>
        <v>1500</v>
      </c>
      <c r="E15" s="91">
        <f>'Expense Sheet'!E10</f>
        <v>1500</v>
      </c>
      <c r="F15" s="91">
        <f>'Expense Sheet'!F10</f>
        <v>1500</v>
      </c>
      <c r="G15" s="91">
        <f>'Expense Sheet'!G10</f>
        <v>1500</v>
      </c>
      <c r="H15" s="91">
        <f>'Expense Sheet'!H10</f>
        <v>1500</v>
      </c>
      <c r="I15" s="91">
        <f>'Expense Sheet'!I10</f>
        <v>1500</v>
      </c>
      <c r="J15" s="91">
        <f>'Expense Sheet'!J10</f>
        <v>1500</v>
      </c>
      <c r="K15" s="91">
        <f>'Expense Sheet'!K10</f>
        <v>1500</v>
      </c>
      <c r="L15" s="91">
        <f>'Expense Sheet'!L10</f>
        <v>1500</v>
      </c>
      <c r="M15" s="91">
        <f>'Expense Sheet'!M10</f>
        <v>1500</v>
      </c>
      <c r="N15" s="91">
        <f>'Expense Sheet'!N10</f>
        <v>3000</v>
      </c>
      <c r="O15" s="91">
        <f>'Expense Sheet'!O10</f>
        <v>3000</v>
      </c>
      <c r="P15" s="91">
        <f>'Expense Sheet'!P10</f>
        <v>3000</v>
      </c>
      <c r="Q15" s="91">
        <f>'Expense Sheet'!Q10</f>
        <v>3000</v>
      </c>
      <c r="R15" s="91">
        <f>'Expense Sheet'!R10</f>
        <v>3000</v>
      </c>
      <c r="S15" s="91">
        <f>'Expense Sheet'!S10</f>
        <v>3000</v>
      </c>
      <c r="T15" s="91">
        <f>'Expense Sheet'!T10</f>
        <v>3000</v>
      </c>
      <c r="U15" s="91">
        <f>'Expense Sheet'!U10</f>
        <v>3000</v>
      </c>
      <c r="V15" s="91">
        <f>'Expense Sheet'!V10</f>
        <v>3000</v>
      </c>
      <c r="W15" s="91">
        <f>'Expense Sheet'!W10</f>
        <v>3000</v>
      </c>
      <c r="X15" s="91">
        <f>'Expense Sheet'!X10</f>
        <v>3000</v>
      </c>
      <c r="Y15" s="91">
        <f>'Expense Sheet'!Y10</f>
        <v>3000</v>
      </c>
      <c r="Z15" s="91">
        <f>'Expense Sheet'!Z10</f>
        <v>6000</v>
      </c>
      <c r="AA15" s="91">
        <f>'Expense Sheet'!AA10</f>
        <v>6000</v>
      </c>
      <c r="AB15" s="91">
        <f>'Expense Sheet'!AB10</f>
        <v>6000</v>
      </c>
      <c r="AC15" s="91">
        <f>'Expense Sheet'!AC10</f>
        <v>6000</v>
      </c>
      <c r="AD15" s="91">
        <f>'Expense Sheet'!AD10</f>
        <v>6000</v>
      </c>
      <c r="AE15" s="91">
        <f>'Expense Sheet'!AE10</f>
        <v>6000</v>
      </c>
      <c r="AF15" s="91">
        <f>'Expense Sheet'!AF10</f>
        <v>6000</v>
      </c>
      <c r="AG15" s="91">
        <f>'Expense Sheet'!AG10</f>
        <v>6000</v>
      </c>
      <c r="AH15" s="91">
        <f>'Expense Sheet'!AH10</f>
        <v>6000</v>
      </c>
      <c r="AI15" s="91">
        <f>'Expense Sheet'!AI10</f>
        <v>6000</v>
      </c>
      <c r="AJ15" s="91">
        <f>'Expense Sheet'!AJ10</f>
        <v>6000</v>
      </c>
      <c r="AK15" s="91">
        <f>'Expense Sheet'!AK10</f>
        <v>6000</v>
      </c>
      <c r="AL15" s="91">
        <f>'Expense Sheet'!AL10</f>
        <v>12000</v>
      </c>
      <c r="AM15" s="91">
        <f>'Expense Sheet'!AM10</f>
        <v>12000</v>
      </c>
      <c r="AN15" s="91">
        <f>'Expense Sheet'!AN10</f>
        <v>12000</v>
      </c>
      <c r="AO15" s="91">
        <f>'Expense Sheet'!AO10</f>
        <v>12000</v>
      </c>
      <c r="AP15" s="91">
        <f>'Expense Sheet'!AP10</f>
        <v>12000</v>
      </c>
      <c r="AQ15" s="91">
        <f>'Expense Sheet'!AQ10</f>
        <v>12000</v>
      </c>
      <c r="AR15" s="91">
        <f>'Expense Sheet'!AR10</f>
        <v>12000</v>
      </c>
      <c r="AS15" s="91">
        <f>'Expense Sheet'!AS10</f>
        <v>12000</v>
      </c>
      <c r="AT15" s="91">
        <f>'Expense Sheet'!AT10</f>
        <v>12000</v>
      </c>
      <c r="AU15" s="91">
        <f>'Expense Sheet'!AU10</f>
        <v>12000</v>
      </c>
      <c r="AV15" s="91">
        <f>'Expense Sheet'!AV10</f>
        <v>12000</v>
      </c>
      <c r="AW15" s="91">
        <f>'Expense Sheet'!AW10</f>
        <v>12000</v>
      </c>
      <c r="AX15" s="91">
        <f>'Expense Sheet'!AX10</f>
        <v>24000</v>
      </c>
      <c r="AY15" s="91">
        <f>'Expense Sheet'!AY10</f>
        <v>24000</v>
      </c>
      <c r="AZ15" s="91">
        <f>'Expense Sheet'!AZ10</f>
        <v>24000</v>
      </c>
      <c r="BA15" s="91">
        <f>'Expense Sheet'!BA10</f>
        <v>24000</v>
      </c>
      <c r="BB15" s="91">
        <f>'Expense Sheet'!BB10</f>
        <v>24000</v>
      </c>
      <c r="BC15" s="91">
        <f>'Expense Sheet'!BC10</f>
        <v>24000</v>
      </c>
      <c r="BD15" s="91">
        <f>'Expense Sheet'!BD10</f>
        <v>24000</v>
      </c>
      <c r="BE15" s="91">
        <f>'Expense Sheet'!BE10</f>
        <v>24000</v>
      </c>
      <c r="BF15" s="91">
        <f>'Expense Sheet'!BF10</f>
        <v>24000</v>
      </c>
      <c r="BG15" s="91">
        <f>'Expense Sheet'!BG10</f>
        <v>24000</v>
      </c>
      <c r="BH15" s="91">
        <f>'Expense Sheet'!BH10</f>
        <v>24000</v>
      </c>
      <c r="BI15" s="91">
        <f>'Expense Sheet'!BI10</f>
        <v>24000</v>
      </c>
    </row>
    <row r="16" spans="1:61" s="83" customFormat="1">
      <c r="A16" s="105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I16" s="91"/>
    </row>
    <row r="17" spans="1:61">
      <c r="A17" s="103" t="s">
        <v>35</v>
      </c>
      <c r="B17" s="97">
        <f t="shared" ref="B17:AG17" si="1">IFERROR(SUM(B7:B15),"")</f>
        <v>149227.75</v>
      </c>
      <c r="C17" s="97">
        <f t="shared" si="1"/>
        <v>149779</v>
      </c>
      <c r="D17" s="97">
        <f t="shared" si="1"/>
        <v>150346.78750000001</v>
      </c>
      <c r="E17" s="97">
        <f t="shared" si="1"/>
        <v>150931.60862499999</v>
      </c>
      <c r="F17" s="97">
        <f t="shared" si="1"/>
        <v>151533.97438375</v>
      </c>
      <c r="G17" s="97">
        <f t="shared" si="1"/>
        <v>152154.41111526251</v>
      </c>
      <c r="H17" s="97">
        <f t="shared" si="1"/>
        <v>152793.46094872037</v>
      </c>
      <c r="I17" s="97">
        <f t="shared" si="1"/>
        <v>153451.682277182</v>
      </c>
      <c r="J17" s="97">
        <f t="shared" si="1"/>
        <v>154129.65024549744</v>
      </c>
      <c r="K17" s="97">
        <f t="shared" si="1"/>
        <v>154827.95725286237</v>
      </c>
      <c r="L17" s="97">
        <f t="shared" si="1"/>
        <v>155547.21347044825</v>
      </c>
      <c r="M17" s="97">
        <f t="shared" si="1"/>
        <v>156288.04737456169</v>
      </c>
      <c r="N17" s="97">
        <f t="shared" si="1"/>
        <v>220734.81877868457</v>
      </c>
      <c r="O17" s="97">
        <f t="shared" si="1"/>
        <v>215650.793156553</v>
      </c>
      <c r="P17" s="97">
        <f t="shared" si="1"/>
        <v>219690.96413887496</v>
      </c>
      <c r="Q17" s="97">
        <f t="shared" si="1"/>
        <v>224135.15221942915</v>
      </c>
      <c r="R17" s="97">
        <f t="shared" si="1"/>
        <v>229023.75910803871</v>
      </c>
      <c r="S17" s="97">
        <f t="shared" si="1"/>
        <v>234401.22668550926</v>
      </c>
      <c r="T17" s="97">
        <f t="shared" si="1"/>
        <v>240316.44102072687</v>
      </c>
      <c r="U17" s="97">
        <f t="shared" si="1"/>
        <v>246823.1767894662</v>
      </c>
      <c r="V17" s="97">
        <f t="shared" si="1"/>
        <v>253980.5861350795</v>
      </c>
      <c r="W17" s="97">
        <f t="shared" si="1"/>
        <v>261853.73641525413</v>
      </c>
      <c r="X17" s="97">
        <f t="shared" si="1"/>
        <v>270514.2017234462</v>
      </c>
      <c r="Y17" s="97">
        <f t="shared" si="1"/>
        <v>280040.71356245747</v>
      </c>
      <c r="Z17" s="97">
        <f t="shared" si="1"/>
        <v>391679.43924058037</v>
      </c>
      <c r="AA17" s="97">
        <f t="shared" si="1"/>
        <v>375959.92232760938</v>
      </c>
      <c r="AB17" s="97">
        <f t="shared" si="1"/>
        <v>381736.56094398984</v>
      </c>
      <c r="AC17" s="97">
        <f t="shared" si="1"/>
        <v>387802.03149118932</v>
      </c>
      <c r="AD17" s="97">
        <f t="shared" si="1"/>
        <v>394170.7755657488</v>
      </c>
      <c r="AE17" s="97">
        <f t="shared" si="1"/>
        <v>400857.95684403623</v>
      </c>
      <c r="AF17" s="97">
        <f t="shared" si="1"/>
        <v>407879.49718623806</v>
      </c>
      <c r="AG17" s="97">
        <f t="shared" si="1"/>
        <v>415252.11454554996</v>
      </c>
      <c r="AH17" s="97">
        <f t="shared" ref="AH17:BI17" si="2">IFERROR(SUM(AH7:AH15),"")</f>
        <v>422993.3627728275</v>
      </c>
      <c r="AI17" s="97">
        <f t="shared" si="2"/>
        <v>431121.67341146886</v>
      </c>
      <c r="AJ17" s="97">
        <f t="shared" si="2"/>
        <v>439656.39958204236</v>
      </c>
      <c r="AK17" s="97">
        <f t="shared" si="2"/>
        <v>448617.86206114449</v>
      </c>
      <c r="AL17" s="97">
        <f t="shared" si="2"/>
        <v>639919.60974753508</v>
      </c>
      <c r="AM17" s="97">
        <f t="shared" si="2"/>
        <v>614974.80871407851</v>
      </c>
      <c r="AN17" s="97">
        <f t="shared" si="2"/>
        <v>625348.82171644911</v>
      </c>
      <c r="AO17" s="97">
        <f t="shared" si="2"/>
        <v>636241.53536893823</v>
      </c>
      <c r="AP17" s="97">
        <f t="shared" si="2"/>
        <v>647678.88470405177</v>
      </c>
      <c r="AQ17" s="97">
        <f t="shared" si="2"/>
        <v>659688.10150592111</v>
      </c>
      <c r="AR17" s="97">
        <f t="shared" si="2"/>
        <v>672297.77914788376</v>
      </c>
      <c r="AS17" s="97">
        <f t="shared" si="2"/>
        <v>685537.94067194464</v>
      </c>
      <c r="AT17" s="97">
        <f t="shared" si="2"/>
        <v>699440.11027220846</v>
      </c>
      <c r="AU17" s="97">
        <f t="shared" si="2"/>
        <v>714037.38835248572</v>
      </c>
      <c r="AV17" s="97">
        <f t="shared" si="2"/>
        <v>729364.53033677652</v>
      </c>
      <c r="AW17" s="97">
        <f t="shared" si="2"/>
        <v>745458.02942028211</v>
      </c>
      <c r="AX17" s="97">
        <f t="shared" si="2"/>
        <v>1102597.0706596295</v>
      </c>
      <c r="AY17" s="97">
        <f t="shared" si="2"/>
        <v>1069581.9618241943</v>
      </c>
      <c r="AZ17" s="97">
        <f t="shared" si="2"/>
        <v>1088212.1987007374</v>
      </c>
      <c r="BA17" s="97">
        <f t="shared" si="2"/>
        <v>1107773.9474211077</v>
      </c>
      <c r="BB17" s="97">
        <f t="shared" si="2"/>
        <v>1128313.7835774964</v>
      </c>
      <c r="BC17" s="97">
        <f t="shared" si="2"/>
        <v>1149880.6115417047</v>
      </c>
      <c r="BD17" s="97">
        <f t="shared" si="2"/>
        <v>1172525.7809041231</v>
      </c>
      <c r="BE17" s="97">
        <f t="shared" si="2"/>
        <v>1196303.2087346627</v>
      </c>
      <c r="BF17" s="97">
        <f t="shared" si="2"/>
        <v>1221269.5079567293</v>
      </c>
      <c r="BG17" s="97">
        <f t="shared" si="2"/>
        <v>1247484.1221398991</v>
      </c>
      <c r="BH17" s="97">
        <f t="shared" si="2"/>
        <v>1275009.4670322272</v>
      </c>
      <c r="BI17" s="97">
        <f t="shared" si="2"/>
        <v>1303911.0791691721</v>
      </c>
    </row>
    <row r="18" spans="1:61">
      <c r="A18" s="103"/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</row>
    <row r="19" spans="1:61">
      <c r="A19" s="103" t="s">
        <v>199</v>
      </c>
      <c r="B19" s="106">
        <f>B5-B17</f>
        <v>26647.25</v>
      </c>
      <c r="C19" s="106">
        <f t="shared" ref="C19:BI19" si="3">C5-C17</f>
        <v>31372.250000000029</v>
      </c>
      <c r="D19" s="106">
        <f t="shared" si="3"/>
        <v>36238.999999999971</v>
      </c>
      <c r="E19" s="106">
        <f t="shared" si="3"/>
        <v>41251.752500000031</v>
      </c>
      <c r="F19" s="106">
        <f t="shared" si="3"/>
        <v>46414.887575000001</v>
      </c>
      <c r="G19" s="106">
        <f t="shared" si="3"/>
        <v>51732.91670224999</v>
      </c>
      <c r="H19" s="106">
        <f t="shared" si="3"/>
        <v>57210.486703317554</v>
      </c>
      <c r="I19" s="106">
        <f t="shared" si="3"/>
        <v>62852.383804417041</v>
      </c>
      <c r="J19" s="106">
        <f t="shared" si="3"/>
        <v>68663.537818549579</v>
      </c>
      <c r="K19" s="106">
        <f t="shared" si="3"/>
        <v>74649.026453106053</v>
      </c>
      <c r="L19" s="106">
        <f t="shared" si="3"/>
        <v>80814.079746699252</v>
      </c>
      <c r="M19" s="106">
        <f t="shared" si="3"/>
        <v>87164.084639100212</v>
      </c>
      <c r="N19" s="106">
        <f t="shared" si="3"/>
        <v>105812.52643634353</v>
      </c>
      <c r="O19" s="106">
        <f t="shared" si="3"/>
        <v>143551.28657997801</v>
      </c>
      <c r="P19" s="106">
        <f t="shared" si="3"/>
        <v>175431.3235713091</v>
      </c>
      <c r="Q19" s="106">
        <f t="shared" si="3"/>
        <v>210499.36426177336</v>
      </c>
      <c r="R19" s="106">
        <f t="shared" si="3"/>
        <v>249074.2090212841</v>
      </c>
      <c r="S19" s="106">
        <f t="shared" si="3"/>
        <v>291506.53825674584</v>
      </c>
      <c r="T19" s="106">
        <f t="shared" si="3"/>
        <v>338182.10041575372</v>
      </c>
      <c r="U19" s="106">
        <f t="shared" si="3"/>
        <v>389525.21879066259</v>
      </c>
      <c r="V19" s="106">
        <f t="shared" si="3"/>
        <v>446002.64900306216</v>
      </c>
      <c r="W19" s="106">
        <f t="shared" si="3"/>
        <v>508127.82223670167</v>
      </c>
      <c r="X19" s="106">
        <f t="shared" si="3"/>
        <v>576465.51279370533</v>
      </c>
      <c r="Y19" s="106">
        <f t="shared" si="3"/>
        <v>651636.97240640933</v>
      </c>
      <c r="Z19" s="106">
        <f t="shared" si="3"/>
        <v>586582.13102672948</v>
      </c>
      <c r="AA19" s="106">
        <f t="shared" si="3"/>
        <v>651214.72645306622</v>
      </c>
      <c r="AB19" s="106">
        <f t="shared" si="3"/>
        <v>696796.82027571974</v>
      </c>
      <c r="AC19" s="106">
        <f t="shared" si="3"/>
        <v>744658.01878950559</v>
      </c>
      <c r="AD19" s="106">
        <f t="shared" si="3"/>
        <v>794912.27722898102</v>
      </c>
      <c r="AE19" s="106">
        <f t="shared" si="3"/>
        <v>847679.24859043001</v>
      </c>
      <c r="AF19" s="106">
        <f t="shared" si="3"/>
        <v>903084.56851995189</v>
      </c>
      <c r="AG19" s="106">
        <f t="shared" si="3"/>
        <v>961260.15444594901</v>
      </c>
      <c r="AH19" s="106">
        <f t="shared" si="3"/>
        <v>1022344.5196682469</v>
      </c>
      <c r="AI19" s="106">
        <f t="shared" si="3"/>
        <v>1086483.103151659</v>
      </c>
      <c r="AJ19" s="106">
        <f t="shared" si="3"/>
        <v>1153828.6158092422</v>
      </c>
      <c r="AK19" s="106">
        <f t="shared" si="3"/>
        <v>1224541.4040997045</v>
      </c>
      <c r="AL19" s="106">
        <f t="shared" si="3"/>
        <v>1116897.6197213563</v>
      </c>
      <c r="AM19" s="106">
        <f t="shared" si="3"/>
        <v>1229683.2822282573</v>
      </c>
      <c r="AN19" s="106">
        <f t="shared" si="3"/>
        <v>1311542.1737730037</v>
      </c>
      <c r="AO19" s="106">
        <f t="shared" si="3"/>
        <v>1397494.0098949869</v>
      </c>
      <c r="AP19" s="106">
        <f t="shared" si="3"/>
        <v>1487743.43782307</v>
      </c>
      <c r="AQ19" s="106">
        <f t="shared" si="3"/>
        <v>1582505.3371475572</v>
      </c>
      <c r="AR19" s="106">
        <f t="shared" si="3"/>
        <v>1682005.3314382681</v>
      </c>
      <c r="AS19" s="106">
        <f t="shared" si="3"/>
        <v>1786480.3254435156</v>
      </c>
      <c r="AT19" s="106">
        <f t="shared" si="3"/>
        <v>1896179.0691490241</v>
      </c>
      <c r="AU19" s="106">
        <f t="shared" si="3"/>
        <v>2011362.7500398089</v>
      </c>
      <c r="AV19" s="106">
        <f t="shared" si="3"/>
        <v>2132305.614975132</v>
      </c>
      <c r="AW19" s="106">
        <f t="shared" si="3"/>
        <v>2259295.6231572223</v>
      </c>
      <c r="AX19" s="106">
        <f t="shared" si="3"/>
        <v>2052394.2645467496</v>
      </c>
      <c r="AY19" s="106">
        <f t="shared" si="3"/>
        <v>2243158.9401425039</v>
      </c>
      <c r="AZ19" s="106">
        <f t="shared" si="3"/>
        <v>2390165.7483642977</v>
      </c>
      <c r="BA19" s="106">
        <f t="shared" si="3"/>
        <v>2544522.896997178</v>
      </c>
      <c r="BB19" s="106">
        <f t="shared" si="3"/>
        <v>2706597.9030617047</v>
      </c>
      <c r="BC19" s="106">
        <f t="shared" si="3"/>
        <v>2876776.6594294561</v>
      </c>
      <c r="BD19" s="106">
        <f t="shared" si="3"/>
        <v>3055464.3536155955</v>
      </c>
      <c r="BE19" s="106">
        <f t="shared" si="3"/>
        <v>3243086.4325110433</v>
      </c>
      <c r="BF19" s="106">
        <f t="shared" si="3"/>
        <v>3440089.6153512606</v>
      </c>
      <c r="BG19" s="106">
        <f t="shared" si="3"/>
        <v>3646942.9573334912</v>
      </c>
      <c r="BH19" s="106">
        <f t="shared" si="3"/>
        <v>3864138.966414833</v>
      </c>
      <c r="BI19" s="106">
        <f t="shared" si="3"/>
        <v>4092194.7759502428</v>
      </c>
    </row>
    <row r="20" spans="1:61">
      <c r="A20" s="103"/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</row>
    <row r="21" spans="1:61">
      <c r="A21" s="105" t="str">
        <f>'Expense Sheet'!A11</f>
        <v>Interest Expense</v>
      </c>
      <c r="B21" s="91">
        <f>'Expense Sheet'!B11</f>
        <v>0</v>
      </c>
      <c r="C21" s="91">
        <f>'Expense Sheet'!C11</f>
        <v>0</v>
      </c>
      <c r="D21" s="91">
        <f>'Expense Sheet'!D11</f>
        <v>0</v>
      </c>
      <c r="E21" s="91">
        <f>'Expense Sheet'!E11</f>
        <v>0</v>
      </c>
      <c r="F21" s="91">
        <f>'Expense Sheet'!F11</f>
        <v>0</v>
      </c>
      <c r="G21" s="91">
        <f>'Expense Sheet'!G11</f>
        <v>0</v>
      </c>
      <c r="H21" s="91">
        <f>'Expense Sheet'!H11</f>
        <v>0</v>
      </c>
      <c r="I21" s="91">
        <f>'Expense Sheet'!I11</f>
        <v>0</v>
      </c>
      <c r="J21" s="91">
        <f>'Expense Sheet'!J11</f>
        <v>0</v>
      </c>
      <c r="K21" s="91">
        <f>'Expense Sheet'!K11</f>
        <v>0</v>
      </c>
      <c r="L21" s="91">
        <f>'Expense Sheet'!L11</f>
        <v>0</v>
      </c>
      <c r="M21" s="91">
        <f>'Expense Sheet'!M11</f>
        <v>0</v>
      </c>
      <c r="N21" s="91">
        <f>'Expense Sheet'!N11</f>
        <v>0</v>
      </c>
      <c r="O21" s="91">
        <f>'Expense Sheet'!O11</f>
        <v>0</v>
      </c>
      <c r="P21" s="91">
        <f>'Expense Sheet'!P11</f>
        <v>0</v>
      </c>
      <c r="Q21" s="91">
        <f>'Expense Sheet'!Q11</f>
        <v>0</v>
      </c>
      <c r="R21" s="91">
        <f>'Expense Sheet'!R11</f>
        <v>0</v>
      </c>
      <c r="S21" s="91">
        <f>'Expense Sheet'!S11</f>
        <v>0</v>
      </c>
      <c r="T21" s="91">
        <f>'Expense Sheet'!T11</f>
        <v>0</v>
      </c>
      <c r="U21" s="91">
        <f>'Expense Sheet'!U11</f>
        <v>0</v>
      </c>
      <c r="V21" s="91">
        <f>'Expense Sheet'!V11</f>
        <v>0</v>
      </c>
      <c r="W21" s="91">
        <f>'Expense Sheet'!W11</f>
        <v>0</v>
      </c>
      <c r="X21" s="91">
        <f>'Expense Sheet'!X11</f>
        <v>0</v>
      </c>
      <c r="Y21" s="91">
        <f>'Expense Sheet'!Y11</f>
        <v>0</v>
      </c>
      <c r="Z21" s="91">
        <f>'Expense Sheet'!Z11</f>
        <v>0</v>
      </c>
      <c r="AA21" s="91">
        <f>'Expense Sheet'!AA11</f>
        <v>0</v>
      </c>
      <c r="AB21" s="91">
        <f>'Expense Sheet'!AB11</f>
        <v>0</v>
      </c>
      <c r="AC21" s="91">
        <f>'Expense Sheet'!AC11</f>
        <v>0</v>
      </c>
      <c r="AD21" s="91">
        <f>'Expense Sheet'!AD11</f>
        <v>0</v>
      </c>
      <c r="AE21" s="91">
        <f>'Expense Sheet'!AE11</f>
        <v>0</v>
      </c>
      <c r="AF21" s="91">
        <f>'Expense Sheet'!AF11</f>
        <v>0</v>
      </c>
      <c r="AG21" s="91">
        <f>'Expense Sheet'!AG11</f>
        <v>0</v>
      </c>
      <c r="AH21" s="91">
        <f>'Expense Sheet'!AH11</f>
        <v>0</v>
      </c>
      <c r="AI21" s="91">
        <f>'Expense Sheet'!AI11</f>
        <v>0</v>
      </c>
      <c r="AJ21" s="91">
        <f>'Expense Sheet'!AJ11</f>
        <v>0</v>
      </c>
      <c r="AK21" s="91">
        <f>'Expense Sheet'!AK11</f>
        <v>0</v>
      </c>
      <c r="AL21" s="91">
        <f>'Expense Sheet'!AL11</f>
        <v>0</v>
      </c>
      <c r="AM21" s="91">
        <f>'Expense Sheet'!AM11</f>
        <v>0</v>
      </c>
      <c r="AN21" s="91">
        <f>'Expense Sheet'!AN11</f>
        <v>0</v>
      </c>
      <c r="AO21" s="91">
        <f>'Expense Sheet'!AO11</f>
        <v>0</v>
      </c>
      <c r="AP21" s="91">
        <f>'Expense Sheet'!AP11</f>
        <v>0</v>
      </c>
      <c r="AQ21" s="91">
        <f>'Expense Sheet'!AQ11</f>
        <v>0</v>
      </c>
      <c r="AR21" s="91">
        <f>'Expense Sheet'!AR11</f>
        <v>0</v>
      </c>
      <c r="AS21" s="91">
        <f>'Expense Sheet'!AS11</f>
        <v>0</v>
      </c>
      <c r="AT21" s="91">
        <f>'Expense Sheet'!AT11</f>
        <v>0</v>
      </c>
      <c r="AU21" s="91">
        <f>'Expense Sheet'!AU11</f>
        <v>0</v>
      </c>
      <c r="AV21" s="91">
        <f>'Expense Sheet'!AV11</f>
        <v>0</v>
      </c>
      <c r="AW21" s="91">
        <f>'Expense Sheet'!AW11</f>
        <v>0</v>
      </c>
      <c r="AX21" s="91">
        <f>'Expense Sheet'!AX11</f>
        <v>0</v>
      </c>
      <c r="AY21" s="91">
        <f>'Expense Sheet'!AY11</f>
        <v>0</v>
      </c>
      <c r="AZ21" s="91">
        <f>'Expense Sheet'!AZ11</f>
        <v>0</v>
      </c>
      <c r="BA21" s="91">
        <f>'Expense Sheet'!BA11</f>
        <v>0</v>
      </c>
      <c r="BB21" s="91">
        <f>'Expense Sheet'!BB11</f>
        <v>0</v>
      </c>
      <c r="BC21" s="91">
        <f>'Expense Sheet'!BC11</f>
        <v>0</v>
      </c>
      <c r="BD21" s="91">
        <f>'Expense Sheet'!BD11</f>
        <v>0</v>
      </c>
      <c r="BE21" s="91">
        <f>'Expense Sheet'!BE11</f>
        <v>0</v>
      </c>
      <c r="BF21" s="91">
        <f>'Expense Sheet'!BF11</f>
        <v>0</v>
      </c>
      <c r="BG21" s="91">
        <f>'Expense Sheet'!BG11</f>
        <v>0</v>
      </c>
      <c r="BH21" s="91">
        <f>'Expense Sheet'!BH11</f>
        <v>0</v>
      </c>
      <c r="BI21" s="91">
        <f>'Expense Sheet'!BI11</f>
        <v>0</v>
      </c>
    </row>
    <row r="22" spans="1:61">
      <c r="A22" s="103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</row>
    <row r="23" spans="1:61">
      <c r="A23" s="103" t="s">
        <v>200</v>
      </c>
      <c r="B23" s="106">
        <f>B19-B21</f>
        <v>26647.25</v>
      </c>
      <c r="C23" s="106">
        <f t="shared" ref="C23:BI23" si="4">C19-C21</f>
        <v>31372.250000000029</v>
      </c>
      <c r="D23" s="106">
        <f t="shared" si="4"/>
        <v>36238.999999999971</v>
      </c>
      <c r="E23" s="106">
        <f t="shared" si="4"/>
        <v>41251.752500000031</v>
      </c>
      <c r="F23" s="106">
        <f t="shared" si="4"/>
        <v>46414.887575000001</v>
      </c>
      <c r="G23" s="106">
        <f t="shared" si="4"/>
        <v>51732.91670224999</v>
      </c>
      <c r="H23" s="106">
        <f t="shared" si="4"/>
        <v>57210.486703317554</v>
      </c>
      <c r="I23" s="106">
        <f t="shared" si="4"/>
        <v>62852.383804417041</v>
      </c>
      <c r="J23" s="106">
        <f t="shared" si="4"/>
        <v>68663.537818549579</v>
      </c>
      <c r="K23" s="106">
        <f t="shared" si="4"/>
        <v>74649.026453106053</v>
      </c>
      <c r="L23" s="106">
        <f t="shared" si="4"/>
        <v>80814.079746699252</v>
      </c>
      <c r="M23" s="106">
        <f t="shared" si="4"/>
        <v>87164.084639100212</v>
      </c>
      <c r="N23" s="106">
        <f t="shared" si="4"/>
        <v>105812.52643634353</v>
      </c>
      <c r="O23" s="106">
        <f t="shared" si="4"/>
        <v>143551.28657997801</v>
      </c>
      <c r="P23" s="106">
        <f t="shared" si="4"/>
        <v>175431.3235713091</v>
      </c>
      <c r="Q23" s="106">
        <f t="shared" si="4"/>
        <v>210499.36426177336</v>
      </c>
      <c r="R23" s="106">
        <f t="shared" si="4"/>
        <v>249074.2090212841</v>
      </c>
      <c r="S23" s="106">
        <f t="shared" si="4"/>
        <v>291506.53825674584</v>
      </c>
      <c r="T23" s="106">
        <f t="shared" si="4"/>
        <v>338182.10041575372</v>
      </c>
      <c r="U23" s="106">
        <f t="shared" si="4"/>
        <v>389525.21879066259</v>
      </c>
      <c r="V23" s="106">
        <f t="shared" si="4"/>
        <v>446002.64900306216</v>
      </c>
      <c r="W23" s="106">
        <f t="shared" si="4"/>
        <v>508127.82223670167</v>
      </c>
      <c r="X23" s="106">
        <f t="shared" si="4"/>
        <v>576465.51279370533</v>
      </c>
      <c r="Y23" s="106">
        <f t="shared" si="4"/>
        <v>651636.97240640933</v>
      </c>
      <c r="Z23" s="106">
        <f t="shared" si="4"/>
        <v>586582.13102672948</v>
      </c>
      <c r="AA23" s="106">
        <f t="shared" si="4"/>
        <v>651214.72645306622</v>
      </c>
      <c r="AB23" s="106">
        <f t="shared" si="4"/>
        <v>696796.82027571974</v>
      </c>
      <c r="AC23" s="106">
        <f t="shared" si="4"/>
        <v>744658.01878950559</v>
      </c>
      <c r="AD23" s="106">
        <f t="shared" si="4"/>
        <v>794912.27722898102</v>
      </c>
      <c r="AE23" s="106">
        <f t="shared" si="4"/>
        <v>847679.24859043001</v>
      </c>
      <c r="AF23" s="106">
        <f t="shared" si="4"/>
        <v>903084.56851995189</v>
      </c>
      <c r="AG23" s="106">
        <f t="shared" si="4"/>
        <v>961260.15444594901</v>
      </c>
      <c r="AH23" s="106">
        <f t="shared" si="4"/>
        <v>1022344.5196682469</v>
      </c>
      <c r="AI23" s="106">
        <f t="shared" si="4"/>
        <v>1086483.103151659</v>
      </c>
      <c r="AJ23" s="106">
        <f t="shared" si="4"/>
        <v>1153828.6158092422</v>
      </c>
      <c r="AK23" s="106">
        <f t="shared" si="4"/>
        <v>1224541.4040997045</v>
      </c>
      <c r="AL23" s="106">
        <f t="shared" si="4"/>
        <v>1116897.6197213563</v>
      </c>
      <c r="AM23" s="106">
        <f t="shared" si="4"/>
        <v>1229683.2822282573</v>
      </c>
      <c r="AN23" s="106">
        <f t="shared" si="4"/>
        <v>1311542.1737730037</v>
      </c>
      <c r="AO23" s="106">
        <f t="shared" si="4"/>
        <v>1397494.0098949869</v>
      </c>
      <c r="AP23" s="106">
        <f t="shared" si="4"/>
        <v>1487743.43782307</v>
      </c>
      <c r="AQ23" s="106">
        <f t="shared" si="4"/>
        <v>1582505.3371475572</v>
      </c>
      <c r="AR23" s="106">
        <f t="shared" si="4"/>
        <v>1682005.3314382681</v>
      </c>
      <c r="AS23" s="106">
        <f t="shared" si="4"/>
        <v>1786480.3254435156</v>
      </c>
      <c r="AT23" s="106">
        <f t="shared" si="4"/>
        <v>1896179.0691490241</v>
      </c>
      <c r="AU23" s="106">
        <f t="shared" si="4"/>
        <v>2011362.7500398089</v>
      </c>
      <c r="AV23" s="106">
        <f t="shared" si="4"/>
        <v>2132305.614975132</v>
      </c>
      <c r="AW23" s="106">
        <f t="shared" si="4"/>
        <v>2259295.6231572223</v>
      </c>
      <c r="AX23" s="106">
        <f t="shared" si="4"/>
        <v>2052394.2645467496</v>
      </c>
      <c r="AY23" s="106">
        <f t="shared" si="4"/>
        <v>2243158.9401425039</v>
      </c>
      <c r="AZ23" s="106">
        <f t="shared" si="4"/>
        <v>2390165.7483642977</v>
      </c>
      <c r="BA23" s="106">
        <f t="shared" si="4"/>
        <v>2544522.896997178</v>
      </c>
      <c r="BB23" s="106">
        <f t="shared" si="4"/>
        <v>2706597.9030617047</v>
      </c>
      <c r="BC23" s="106">
        <f t="shared" si="4"/>
        <v>2876776.6594294561</v>
      </c>
      <c r="BD23" s="106">
        <f t="shared" si="4"/>
        <v>3055464.3536155955</v>
      </c>
      <c r="BE23" s="106">
        <f t="shared" si="4"/>
        <v>3243086.4325110433</v>
      </c>
      <c r="BF23" s="106">
        <f t="shared" si="4"/>
        <v>3440089.6153512606</v>
      </c>
      <c r="BG23" s="106">
        <f t="shared" si="4"/>
        <v>3646942.9573334912</v>
      </c>
      <c r="BH23" s="106">
        <f t="shared" si="4"/>
        <v>3864138.966414833</v>
      </c>
      <c r="BI23" s="106">
        <f t="shared" si="4"/>
        <v>4092194.7759502428</v>
      </c>
    </row>
    <row r="24" spans="1:61">
      <c r="A24" s="103"/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</row>
    <row r="25" spans="1:61">
      <c r="A25" s="105" t="str">
        <f>'Expense Sheet'!A12</f>
        <v>Depreciation</v>
      </c>
      <c r="B25" s="91">
        <f>'Expense Sheet'!B12</f>
        <v>11125</v>
      </c>
      <c r="C25" s="91">
        <f>'Expense Sheet'!C12</f>
        <v>11125</v>
      </c>
      <c r="D25" s="91">
        <f>'Expense Sheet'!D12</f>
        <v>11125</v>
      </c>
      <c r="E25" s="91">
        <f>'Expense Sheet'!E12</f>
        <v>11125</v>
      </c>
      <c r="F25" s="91">
        <f>'Expense Sheet'!F12</f>
        <v>11125</v>
      </c>
      <c r="G25" s="91">
        <f>'Expense Sheet'!G12</f>
        <v>11125</v>
      </c>
      <c r="H25" s="91">
        <f>'Expense Sheet'!H12</f>
        <v>11125</v>
      </c>
      <c r="I25" s="91">
        <f>'Expense Sheet'!I12</f>
        <v>11125</v>
      </c>
      <c r="J25" s="91">
        <f>'Expense Sheet'!J12</f>
        <v>11125</v>
      </c>
      <c r="K25" s="91">
        <f>'Expense Sheet'!K12</f>
        <v>11125</v>
      </c>
      <c r="L25" s="91">
        <f>'Expense Sheet'!L12</f>
        <v>11125</v>
      </c>
      <c r="M25" s="91">
        <f>'Expense Sheet'!M12</f>
        <v>11125</v>
      </c>
      <c r="N25" s="91">
        <f>'Expense Sheet'!N12</f>
        <v>11125</v>
      </c>
      <c r="O25" s="91">
        <f>'Expense Sheet'!O12</f>
        <v>11125</v>
      </c>
      <c r="P25" s="91">
        <f>'Expense Sheet'!P12</f>
        <v>11125</v>
      </c>
      <c r="Q25" s="91">
        <f>'Expense Sheet'!Q12</f>
        <v>11125</v>
      </c>
      <c r="R25" s="91">
        <f>'Expense Sheet'!R12</f>
        <v>11125</v>
      </c>
      <c r="S25" s="91">
        <f>'Expense Sheet'!S12</f>
        <v>11125</v>
      </c>
      <c r="T25" s="91">
        <f>'Expense Sheet'!T12</f>
        <v>11125</v>
      </c>
      <c r="U25" s="91">
        <f>'Expense Sheet'!U12</f>
        <v>11125</v>
      </c>
      <c r="V25" s="91">
        <f>'Expense Sheet'!V12</f>
        <v>11125</v>
      </c>
      <c r="W25" s="91">
        <f>'Expense Sheet'!W12</f>
        <v>11125</v>
      </c>
      <c r="X25" s="91">
        <f>'Expense Sheet'!X12</f>
        <v>11125</v>
      </c>
      <c r="Y25" s="91">
        <f>'Expense Sheet'!Y12</f>
        <v>11125</v>
      </c>
      <c r="Z25" s="91">
        <f>'Expense Sheet'!Z12</f>
        <v>11125</v>
      </c>
      <c r="AA25" s="91">
        <f>'Expense Sheet'!AA12</f>
        <v>11125</v>
      </c>
      <c r="AB25" s="91">
        <f>'Expense Sheet'!AB12</f>
        <v>11125</v>
      </c>
      <c r="AC25" s="91">
        <f>'Expense Sheet'!AC12</f>
        <v>11125</v>
      </c>
      <c r="AD25" s="91">
        <f>'Expense Sheet'!AD12</f>
        <v>11125</v>
      </c>
      <c r="AE25" s="91">
        <f>'Expense Sheet'!AE12</f>
        <v>11125</v>
      </c>
      <c r="AF25" s="91">
        <f>'Expense Sheet'!AF12</f>
        <v>11125</v>
      </c>
      <c r="AG25" s="91">
        <f>'Expense Sheet'!AG12</f>
        <v>11125</v>
      </c>
      <c r="AH25" s="91">
        <f>'Expense Sheet'!AH12</f>
        <v>11125</v>
      </c>
      <c r="AI25" s="91">
        <f>'Expense Sheet'!AI12</f>
        <v>11125</v>
      </c>
      <c r="AJ25" s="91">
        <f>'Expense Sheet'!AJ12</f>
        <v>11125</v>
      </c>
      <c r="AK25" s="91">
        <f>'Expense Sheet'!AK12</f>
        <v>11125</v>
      </c>
      <c r="AL25" s="91">
        <f>'Expense Sheet'!AL12</f>
        <v>11125</v>
      </c>
      <c r="AM25" s="91">
        <f>'Expense Sheet'!AM12</f>
        <v>11125</v>
      </c>
      <c r="AN25" s="91">
        <f>'Expense Sheet'!AN12</f>
        <v>11125</v>
      </c>
      <c r="AO25" s="91">
        <f>'Expense Sheet'!AO12</f>
        <v>11125</v>
      </c>
      <c r="AP25" s="91">
        <f>'Expense Sheet'!AP12</f>
        <v>11125</v>
      </c>
      <c r="AQ25" s="91">
        <f>'Expense Sheet'!AQ12</f>
        <v>11125</v>
      </c>
      <c r="AR25" s="91">
        <f>'Expense Sheet'!AR12</f>
        <v>11125</v>
      </c>
      <c r="AS25" s="91">
        <f>'Expense Sheet'!AS12</f>
        <v>11125</v>
      </c>
      <c r="AT25" s="91">
        <f>'Expense Sheet'!AT12</f>
        <v>11125</v>
      </c>
      <c r="AU25" s="91">
        <f>'Expense Sheet'!AU12</f>
        <v>11125</v>
      </c>
      <c r="AV25" s="91">
        <f>'Expense Sheet'!AV12</f>
        <v>11125</v>
      </c>
      <c r="AW25" s="91">
        <f>'Expense Sheet'!AW12</f>
        <v>11125</v>
      </c>
      <c r="AX25" s="91">
        <f>'Expense Sheet'!AX12</f>
        <v>11125</v>
      </c>
      <c r="AY25" s="91">
        <f>'Expense Sheet'!AY12</f>
        <v>11125</v>
      </c>
      <c r="AZ25" s="91">
        <f>'Expense Sheet'!AZ12</f>
        <v>11125</v>
      </c>
      <c r="BA25" s="91">
        <f>'Expense Sheet'!BA12</f>
        <v>11125</v>
      </c>
      <c r="BB25" s="91">
        <f>'Expense Sheet'!BB12</f>
        <v>11125</v>
      </c>
      <c r="BC25" s="91">
        <f>'Expense Sheet'!BC12</f>
        <v>11125</v>
      </c>
      <c r="BD25" s="91">
        <f>'Expense Sheet'!BD12</f>
        <v>11125</v>
      </c>
      <c r="BE25" s="91">
        <f>'Expense Sheet'!BE12</f>
        <v>11125</v>
      </c>
      <c r="BF25" s="91">
        <f>'Expense Sheet'!BF12</f>
        <v>11125</v>
      </c>
      <c r="BG25" s="91">
        <f>'Expense Sheet'!BG12</f>
        <v>11125</v>
      </c>
      <c r="BH25" s="91">
        <f>'Expense Sheet'!BH12</f>
        <v>11125</v>
      </c>
      <c r="BI25" s="91">
        <f>'Expense Sheet'!BI12</f>
        <v>11125</v>
      </c>
    </row>
    <row r="26" spans="1:61">
      <c r="A26" s="103"/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</row>
    <row r="27" spans="1:61">
      <c r="A27" s="103" t="s">
        <v>201</v>
      </c>
      <c r="B27" s="106">
        <f>B23-B25</f>
        <v>15522.25</v>
      </c>
      <c r="C27" s="106">
        <f t="shared" ref="C27:BI27" si="5">C23-C25</f>
        <v>20247.250000000029</v>
      </c>
      <c r="D27" s="106">
        <f t="shared" si="5"/>
        <v>25113.999999999971</v>
      </c>
      <c r="E27" s="106">
        <f t="shared" si="5"/>
        <v>30126.752500000031</v>
      </c>
      <c r="F27" s="106">
        <f t="shared" si="5"/>
        <v>35289.887575000001</v>
      </c>
      <c r="G27" s="106">
        <f t="shared" si="5"/>
        <v>40607.91670224999</v>
      </c>
      <c r="H27" s="106">
        <f t="shared" si="5"/>
        <v>46085.486703317554</v>
      </c>
      <c r="I27" s="106">
        <f t="shared" si="5"/>
        <v>51727.383804417041</v>
      </c>
      <c r="J27" s="106">
        <f t="shared" si="5"/>
        <v>57538.537818549579</v>
      </c>
      <c r="K27" s="106">
        <f t="shared" si="5"/>
        <v>63524.026453106053</v>
      </c>
      <c r="L27" s="106">
        <f t="shared" si="5"/>
        <v>69689.079746699252</v>
      </c>
      <c r="M27" s="106">
        <f t="shared" si="5"/>
        <v>76039.084639100212</v>
      </c>
      <c r="N27" s="106">
        <f t="shared" si="5"/>
        <v>94687.526436343527</v>
      </c>
      <c r="O27" s="106">
        <f t="shared" si="5"/>
        <v>132426.28657997801</v>
      </c>
      <c r="P27" s="106">
        <f t="shared" si="5"/>
        <v>164306.3235713091</v>
      </c>
      <c r="Q27" s="106">
        <f t="shared" si="5"/>
        <v>199374.36426177336</v>
      </c>
      <c r="R27" s="106">
        <f t="shared" si="5"/>
        <v>237949.2090212841</v>
      </c>
      <c r="S27" s="106">
        <f t="shared" si="5"/>
        <v>280381.53825674584</v>
      </c>
      <c r="T27" s="106">
        <f t="shared" si="5"/>
        <v>327057.10041575372</v>
      </c>
      <c r="U27" s="106">
        <f t="shared" si="5"/>
        <v>378400.21879066259</v>
      </c>
      <c r="V27" s="106">
        <f t="shared" si="5"/>
        <v>434877.64900306216</v>
      </c>
      <c r="W27" s="106">
        <f t="shared" si="5"/>
        <v>497002.82223670167</v>
      </c>
      <c r="X27" s="106">
        <f t="shared" si="5"/>
        <v>565340.51279370533</v>
      </c>
      <c r="Y27" s="106">
        <f t="shared" si="5"/>
        <v>640511.97240640933</v>
      </c>
      <c r="Z27" s="106">
        <f t="shared" si="5"/>
        <v>575457.13102672948</v>
      </c>
      <c r="AA27" s="106">
        <f t="shared" si="5"/>
        <v>640089.72645306622</v>
      </c>
      <c r="AB27" s="106">
        <f t="shared" si="5"/>
        <v>685671.82027571974</v>
      </c>
      <c r="AC27" s="106">
        <f t="shared" si="5"/>
        <v>733533.01878950559</v>
      </c>
      <c r="AD27" s="106">
        <f t="shared" si="5"/>
        <v>783787.27722898102</v>
      </c>
      <c r="AE27" s="106">
        <f t="shared" si="5"/>
        <v>836554.24859043001</v>
      </c>
      <c r="AF27" s="106">
        <f t="shared" si="5"/>
        <v>891959.56851995189</v>
      </c>
      <c r="AG27" s="106">
        <f t="shared" si="5"/>
        <v>950135.15444594901</v>
      </c>
      <c r="AH27" s="106">
        <f t="shared" si="5"/>
        <v>1011219.5196682469</v>
      </c>
      <c r="AI27" s="106">
        <f t="shared" si="5"/>
        <v>1075358.103151659</v>
      </c>
      <c r="AJ27" s="106">
        <f t="shared" si="5"/>
        <v>1142703.6158092422</v>
      </c>
      <c r="AK27" s="106">
        <f t="shared" si="5"/>
        <v>1213416.4040997045</v>
      </c>
      <c r="AL27" s="106">
        <f t="shared" si="5"/>
        <v>1105772.6197213563</v>
      </c>
      <c r="AM27" s="106">
        <f t="shared" si="5"/>
        <v>1218558.2822282573</v>
      </c>
      <c r="AN27" s="106">
        <f t="shared" si="5"/>
        <v>1300417.1737730037</v>
      </c>
      <c r="AO27" s="106">
        <f t="shared" si="5"/>
        <v>1386369.0098949869</v>
      </c>
      <c r="AP27" s="106">
        <f t="shared" si="5"/>
        <v>1476618.43782307</v>
      </c>
      <c r="AQ27" s="106">
        <f t="shared" si="5"/>
        <v>1571380.3371475572</v>
      </c>
      <c r="AR27" s="106">
        <f t="shared" si="5"/>
        <v>1670880.3314382681</v>
      </c>
      <c r="AS27" s="106">
        <f t="shared" si="5"/>
        <v>1775355.3254435156</v>
      </c>
      <c r="AT27" s="106">
        <f t="shared" si="5"/>
        <v>1885054.0691490241</v>
      </c>
      <c r="AU27" s="106">
        <f t="shared" si="5"/>
        <v>2000237.7500398089</v>
      </c>
      <c r="AV27" s="106">
        <f t="shared" si="5"/>
        <v>2121180.614975132</v>
      </c>
      <c r="AW27" s="106">
        <f t="shared" si="5"/>
        <v>2248170.6231572223</v>
      </c>
      <c r="AX27" s="106">
        <f t="shared" si="5"/>
        <v>2041269.2645467496</v>
      </c>
      <c r="AY27" s="106">
        <f t="shared" si="5"/>
        <v>2232033.9401425039</v>
      </c>
      <c r="AZ27" s="106">
        <f t="shared" si="5"/>
        <v>2379040.7483642977</v>
      </c>
      <c r="BA27" s="106">
        <f t="shared" si="5"/>
        <v>2533397.896997178</v>
      </c>
      <c r="BB27" s="106">
        <f t="shared" si="5"/>
        <v>2695472.9030617047</v>
      </c>
      <c r="BC27" s="106">
        <f t="shared" si="5"/>
        <v>2865651.6594294561</v>
      </c>
      <c r="BD27" s="106">
        <f t="shared" si="5"/>
        <v>3044339.3536155955</v>
      </c>
      <c r="BE27" s="106">
        <f t="shared" si="5"/>
        <v>3231961.4325110433</v>
      </c>
      <c r="BF27" s="106">
        <f t="shared" si="5"/>
        <v>3428964.6153512606</v>
      </c>
      <c r="BG27" s="106">
        <f t="shared" si="5"/>
        <v>3635817.9573334912</v>
      </c>
      <c r="BH27" s="106">
        <f t="shared" si="5"/>
        <v>3853013.966414833</v>
      </c>
      <c r="BI27" s="106">
        <f t="shared" si="5"/>
        <v>4081069.7759502428</v>
      </c>
    </row>
    <row r="28" spans="1:61">
      <c r="A28" s="103"/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  <c r="Y28" s="106"/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</row>
    <row r="29" spans="1:61">
      <c r="A29" s="104" t="s">
        <v>202</v>
      </c>
      <c r="B29" s="91">
        <f>IF(SUM(B27:M27)&gt;0,SUM(B27:M27)*Assumptions!$B$8/12,0)</f>
        <v>9301.4539789926948</v>
      </c>
      <c r="C29" s="91">
        <f>IF(SUM(B27:M27)&gt;0,SUM(B27:M27)*Assumptions!$B$8/12,0)</f>
        <v>9301.4539789926948</v>
      </c>
      <c r="D29" s="91">
        <f>IF(SUM(B27:M27)&gt;0,SUM(B27:M27)*Assumptions!$B$8/12,0)</f>
        <v>9301.4539789926948</v>
      </c>
      <c r="E29" s="91">
        <f>IF(SUM(B27:M27)&gt;0,SUM(B27:M27)*Assumptions!$B$8/12,0)</f>
        <v>9301.4539789926948</v>
      </c>
      <c r="F29" s="91">
        <f>IF(SUM(B27:M27)&gt;0,SUM(B27:M27)*Assumptions!$B$8/12,0)</f>
        <v>9301.4539789926948</v>
      </c>
      <c r="G29" s="91">
        <f>IF(SUM(B27:M27)&gt;0,SUM(B27:M27)*Assumptions!$B$8/12,0)</f>
        <v>9301.4539789926948</v>
      </c>
      <c r="H29" s="91">
        <f>IF(SUM(B27:M27)&gt;0,SUM(B27:M27)*Assumptions!$B$8/12,0)</f>
        <v>9301.4539789926948</v>
      </c>
      <c r="I29" s="91">
        <f>IF(SUM(B27:M27)&gt;0,SUM(B27:M27)*Assumptions!$B$8/12,0)</f>
        <v>9301.4539789926948</v>
      </c>
      <c r="J29" s="91">
        <f>IF(SUM(B27:M27)&gt;0,SUM(B27:M27)*Assumptions!$B$8/12,0)</f>
        <v>9301.4539789926948</v>
      </c>
      <c r="K29" s="91">
        <f>IF(SUM(B27:M27)&gt;0,SUM(B27:M27)*Assumptions!$B$8/12,0)</f>
        <v>9301.4539789926948</v>
      </c>
      <c r="L29" s="91">
        <f>IF(SUM(B27:M27)&gt;0,SUM(B27:M27)*Assumptions!$B$8/12,0)</f>
        <v>9301.4539789926948</v>
      </c>
      <c r="M29" s="91">
        <f>IF(SUM(B27:M27)&gt;0,SUM(B27:M27)*Assumptions!$B$8/12,0)</f>
        <v>9301.4539789926948</v>
      </c>
      <c r="N29" s="91">
        <f>IF(SUM(N27:Y27)&gt;0,SUM(N27:Y27)*Assumptions!$B$8/12,0)</f>
        <v>69165.521666040251</v>
      </c>
      <c r="O29" s="91">
        <f>IF(SUM(N27:Y27)&gt;0,SUM(N27:Y27)*Assumptions!$B$8/12,0)</f>
        <v>69165.521666040251</v>
      </c>
      <c r="P29" s="91">
        <f>IF(SUM(N27:Y27)&gt;0,SUM(N27:Y27)*Assumptions!$B$8/12,0)</f>
        <v>69165.521666040251</v>
      </c>
      <c r="Q29" s="91">
        <f>IF(SUM(N27:Y27)&gt;0,SUM(N27:Y27)*Assumptions!$B$8/12,0)</f>
        <v>69165.521666040251</v>
      </c>
      <c r="R29" s="91">
        <f>IF(SUM(N27:Y27)&gt;0,SUM(N27:Y27)*Assumptions!$B$8/12,0)</f>
        <v>69165.521666040251</v>
      </c>
      <c r="S29" s="91">
        <f>IF(SUM(N27:Y27)&gt;0,SUM(N27:Y27)*Assumptions!$B$8/12,0)</f>
        <v>69165.521666040251</v>
      </c>
      <c r="T29" s="91">
        <f>IF(SUM(N27:Y27)&gt;0,SUM(N27:Y27)*Assumptions!$B$8/12,0)</f>
        <v>69165.521666040251</v>
      </c>
      <c r="U29" s="91">
        <f>IF(SUM(N27:Y27)&gt;0,SUM(N27:Y27)*Assumptions!$B$8/12,0)</f>
        <v>69165.521666040251</v>
      </c>
      <c r="V29" s="91">
        <f>IF(SUM(N27:Y27)&gt;0,SUM(N27:Y27)*Assumptions!$B$8/12,0)</f>
        <v>69165.521666040251</v>
      </c>
      <c r="W29" s="91">
        <f>IF(SUM(N27:Y27)&gt;0,SUM(N27:Y27)*Assumptions!$B$8/12,0)</f>
        <v>69165.521666040251</v>
      </c>
      <c r="X29" s="91">
        <f>IF(SUM(N27:Y27)&gt;0,SUM(N27:Y27)*Assumptions!$B$8/12,0)</f>
        <v>69165.521666040251</v>
      </c>
      <c r="Y29" s="91">
        <f>IF(SUM(N27:Y27)&gt;0,SUM(N27:Y27)*Assumptions!$B$8/12,0)</f>
        <v>69165.521666040251</v>
      </c>
      <c r="Z29" s="91">
        <f>IF(SUM(Z27:AK27)&gt;0,SUM(Z27:AK27)*Assumptions!$B$8/12,0)</f>
        <v>184447.99779103571</v>
      </c>
      <c r="AA29" s="91">
        <f>IF(SUM(Z27:AK27)&gt;0,SUM(Z27:AK27)*Assumptions!$B$8/12,0)</f>
        <v>184447.99779103571</v>
      </c>
      <c r="AB29" s="91">
        <f>IF(SUM(Z27:AK27)&gt;0,SUM(Z27:AK27)*Assumptions!$B$8/12,0)</f>
        <v>184447.99779103571</v>
      </c>
      <c r="AC29" s="91">
        <f>IF(SUM(Z27:AK27)&gt;0,SUM(Z27:AK27)*Assumptions!$B$8/12,0)</f>
        <v>184447.99779103571</v>
      </c>
      <c r="AD29" s="91">
        <f>IF(SUM(Z27:AK27)&gt;0,SUM(Z27:AK27)*Assumptions!$B$8/12,0)</f>
        <v>184447.99779103571</v>
      </c>
      <c r="AE29" s="91">
        <f>IF(SUM(Z27:AK27)&gt;0,SUM(Z27:AK27)*Assumptions!$B$8/12,0)</f>
        <v>184447.99779103571</v>
      </c>
      <c r="AF29" s="91">
        <f>IF(SUM(Z27:AK27)&gt;0,SUM(Z27:AK27)*Assumptions!$B$8/12,0)</f>
        <v>184447.99779103571</v>
      </c>
      <c r="AG29" s="91">
        <f>IF(SUM(Z27:AK27)&gt;0,SUM(Z27:AK27)*Assumptions!$B$8/12,0)</f>
        <v>184447.99779103571</v>
      </c>
      <c r="AH29" s="91">
        <f>IF(SUM(Z27:AK27)&gt;0,SUM(Z27:AK27)*Assumptions!$B$8/12,0)</f>
        <v>184447.99779103571</v>
      </c>
      <c r="AI29" s="91">
        <f>IF(SUM(Z27:AK27)&gt;0,SUM(Z27:AK27)*Assumptions!$B$8/12,0)</f>
        <v>184447.99779103571</v>
      </c>
      <c r="AJ29" s="91">
        <f>IF(SUM(Z27:AK27)&gt;0,SUM(Z27:AK27)*Assumptions!$B$8/12,0)</f>
        <v>184447.99779103571</v>
      </c>
      <c r="AK29" s="91">
        <f>IF(SUM(Z27:AK27)&gt;0,SUM(Z27:AK27)*Assumptions!$B$8/12,0)</f>
        <v>184447.99779103571</v>
      </c>
      <c r="AL29" s="91">
        <f>IF(SUM(AL27:AW27)&gt;0,SUM(AL27:AW27)*Assumptions!$B$8/12,0)</f>
        <v>345799.90505884605</v>
      </c>
      <c r="AM29" s="91">
        <f>IF(SUM(AL27:AW27)&gt;0,SUM(AL27:AW27)*Assumptions!$B$8/12,0)</f>
        <v>345799.90505884605</v>
      </c>
      <c r="AN29" s="91">
        <f>IF(SUM(AL27:AW27)&gt;0,SUM(AL27:AW27)*Assumptions!$B$8/12,0)</f>
        <v>345799.90505884605</v>
      </c>
      <c r="AO29" s="91">
        <f>IF(SUM(AL27:AW27)&gt;0,SUM(AL27:AW27)*Assumptions!$B$8/12,0)</f>
        <v>345799.90505884605</v>
      </c>
      <c r="AP29" s="91">
        <f>IF(SUM(AL27:AW27)&gt;0,SUM(AL27:AW27)*Assumptions!$B$8/12,0)</f>
        <v>345799.90505884605</v>
      </c>
      <c r="AQ29" s="91">
        <f>IF(SUM(AL27:AW27)&gt;0,SUM(AL27:AW27)*Assumptions!$B$8/12,0)</f>
        <v>345799.90505884605</v>
      </c>
      <c r="AR29" s="91">
        <f>IF(SUM(AL27:AW27)&gt;0,SUM(AL27:AW27)*Assumptions!$B$8/12,0)</f>
        <v>345799.90505884605</v>
      </c>
      <c r="AS29" s="91">
        <f>IF(SUM(AL27:AW27)&gt;0,SUM(AL27:AW27)*Assumptions!$B$8/12,0)</f>
        <v>345799.90505884605</v>
      </c>
      <c r="AT29" s="91">
        <f>IF(SUM(AL27:AW27)&gt;0,SUM(AL27:AW27)*Assumptions!$B$8/12,0)</f>
        <v>345799.90505884605</v>
      </c>
      <c r="AU29" s="91">
        <f>IF(SUM(AL27:AW27)&gt;0,SUM(AL27:AW27)*Assumptions!$B$8/12,0)</f>
        <v>345799.90505884605</v>
      </c>
      <c r="AV29" s="91">
        <f>IF(SUM(AL27:AW27)&gt;0,SUM(AL27:AW27)*Assumptions!$B$8/12,0)</f>
        <v>345799.90505884605</v>
      </c>
      <c r="AW29" s="91">
        <f>IF(SUM(AL27:AW27)&gt;0,SUM(AL27:AW27)*Assumptions!$B$8/12,0)</f>
        <v>345799.90505884605</v>
      </c>
      <c r="AX29" s="91">
        <f>IF(SUM(AX27:BI27)&gt;0,SUM(AX27:BI27)*Assumptions!$B$8/12,0)</f>
        <v>630385.58649007115</v>
      </c>
      <c r="AY29" s="91">
        <f>IF(SUM(AX27:BI27)&gt;0,SUM(AX27:BI27)*Assumptions!$B$8/12,0)</f>
        <v>630385.58649007115</v>
      </c>
      <c r="AZ29" s="91">
        <f>IF(SUM(AX27:BI27)&gt;0,SUM(AX27:BI27)*Assumptions!$B$8/12,0)</f>
        <v>630385.58649007115</v>
      </c>
      <c r="BA29" s="91">
        <f>IF(SUM(AX27:BI27)&gt;0,SUM(AX27:BI27)*Assumptions!$B$8/12,0)</f>
        <v>630385.58649007115</v>
      </c>
      <c r="BB29" s="91">
        <f>IF(SUM(AX27:BI27)&gt;0,SUM(AX27:BI27)*Assumptions!$B$8/12,0)</f>
        <v>630385.58649007115</v>
      </c>
      <c r="BC29" s="91">
        <f>IF(SUM(AX27:BI27)&gt;0,SUM(AX27:BI27)*Assumptions!$B$8/12,0)</f>
        <v>630385.58649007115</v>
      </c>
      <c r="BD29" s="91">
        <f>IF(SUM(AX27:BI27)&gt;0,SUM(AX27:BI27)*Assumptions!$B$8/12,0)</f>
        <v>630385.58649007115</v>
      </c>
      <c r="BE29" s="91">
        <f>IF(SUM(AX27:BI27)&gt;0,SUM(AX27:BI27)*Assumptions!$B$8/12,0)</f>
        <v>630385.58649007115</v>
      </c>
      <c r="BF29" s="91">
        <f>IF(SUM(AX27:BI27)&gt;0,SUM(AX27:BI27)*Assumptions!$B$8/12,0)</f>
        <v>630385.58649007115</v>
      </c>
      <c r="BG29" s="91">
        <f>IF(SUM(AX27:BI27)&gt;0,SUM(AX27:BI27)*Assumptions!$B$8/12,0)</f>
        <v>630385.58649007115</v>
      </c>
      <c r="BH29" s="91">
        <f>IF(SUM(AX27:BI27)&gt;0,SUM(AX27:BI27)*Assumptions!$B$8/12,0)</f>
        <v>630385.58649007115</v>
      </c>
      <c r="BI29" s="91">
        <f>IF(SUM(AX27:BI27)&gt;0,SUM(AX27:BI27)*Assumptions!$B$8/12,0)</f>
        <v>630385.58649007115</v>
      </c>
    </row>
    <row r="30" spans="1:61">
      <c r="A30" s="103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</row>
    <row r="31" spans="1:61">
      <c r="A31" s="107" t="s">
        <v>203</v>
      </c>
      <c r="B31" s="95">
        <f>B27-B29</f>
        <v>6220.7960210073052</v>
      </c>
      <c r="C31" s="95">
        <f t="shared" ref="C31:BI31" si="6">C27-C29</f>
        <v>10945.796021007334</v>
      </c>
      <c r="D31" s="95">
        <f t="shared" si="6"/>
        <v>15812.546021007276</v>
      </c>
      <c r="E31" s="95">
        <f t="shared" si="6"/>
        <v>20825.298521007338</v>
      </c>
      <c r="F31" s="95">
        <f t="shared" si="6"/>
        <v>25988.433596007308</v>
      </c>
      <c r="G31" s="95">
        <f t="shared" si="6"/>
        <v>31306.462723257297</v>
      </c>
      <c r="H31" s="95">
        <f t="shared" si="6"/>
        <v>36784.032724324861</v>
      </c>
      <c r="I31" s="95">
        <f t="shared" si="6"/>
        <v>42425.929825424348</v>
      </c>
      <c r="J31" s="95">
        <f t="shared" si="6"/>
        <v>48237.083839556886</v>
      </c>
      <c r="K31" s="95">
        <f t="shared" si="6"/>
        <v>54222.57247411336</v>
      </c>
      <c r="L31" s="95">
        <f t="shared" si="6"/>
        <v>60387.625767706559</v>
      </c>
      <c r="M31" s="95">
        <f t="shared" si="6"/>
        <v>66737.630660107519</v>
      </c>
      <c r="N31" s="95">
        <f t="shared" si="6"/>
        <v>25522.004770303276</v>
      </c>
      <c r="O31" s="95">
        <f t="shared" si="6"/>
        <v>63260.764913937761</v>
      </c>
      <c r="P31" s="95">
        <f t="shared" si="6"/>
        <v>95140.801905268847</v>
      </c>
      <c r="Q31" s="95">
        <f t="shared" si="6"/>
        <v>130208.84259573311</v>
      </c>
      <c r="R31" s="95">
        <f t="shared" si="6"/>
        <v>168783.68735524383</v>
      </c>
      <c r="S31" s="95">
        <f t="shared" si="6"/>
        <v>211216.01659070561</v>
      </c>
      <c r="T31" s="95">
        <f t="shared" si="6"/>
        <v>257891.57874971349</v>
      </c>
      <c r="U31" s="95">
        <f t="shared" si="6"/>
        <v>309234.69712462235</v>
      </c>
      <c r="V31" s="95">
        <f t="shared" si="6"/>
        <v>365712.12733702193</v>
      </c>
      <c r="W31" s="95">
        <f t="shared" si="6"/>
        <v>427837.30057066143</v>
      </c>
      <c r="X31" s="95">
        <f t="shared" si="6"/>
        <v>496174.9911276651</v>
      </c>
      <c r="Y31" s="95">
        <f t="shared" si="6"/>
        <v>571346.45074036904</v>
      </c>
      <c r="Z31" s="95">
        <f t="shared" si="6"/>
        <v>391009.13323569379</v>
      </c>
      <c r="AA31" s="95">
        <f t="shared" si="6"/>
        <v>455641.72866203054</v>
      </c>
      <c r="AB31" s="95">
        <f t="shared" si="6"/>
        <v>501223.82248468406</v>
      </c>
      <c r="AC31" s="95">
        <f t="shared" si="6"/>
        <v>549085.0209984699</v>
      </c>
      <c r="AD31" s="95">
        <f t="shared" si="6"/>
        <v>599339.27943794534</v>
      </c>
      <c r="AE31" s="95">
        <f t="shared" si="6"/>
        <v>652106.25079939433</v>
      </c>
      <c r="AF31" s="95">
        <f t="shared" si="6"/>
        <v>707511.57072891621</v>
      </c>
      <c r="AG31" s="95">
        <f t="shared" si="6"/>
        <v>765687.15665491333</v>
      </c>
      <c r="AH31" s="95">
        <f t="shared" si="6"/>
        <v>826771.52187721117</v>
      </c>
      <c r="AI31" s="95">
        <f t="shared" si="6"/>
        <v>890910.10536062333</v>
      </c>
      <c r="AJ31" s="95">
        <f t="shared" si="6"/>
        <v>958255.61801820656</v>
      </c>
      <c r="AK31" s="95">
        <f t="shared" si="6"/>
        <v>1028968.4063086688</v>
      </c>
      <c r="AL31" s="95">
        <f t="shared" si="6"/>
        <v>759972.7146625102</v>
      </c>
      <c r="AM31" s="95">
        <f t="shared" si="6"/>
        <v>872758.37716941116</v>
      </c>
      <c r="AN31" s="95">
        <f t="shared" si="6"/>
        <v>954617.26871415763</v>
      </c>
      <c r="AO31" s="95">
        <f t="shared" si="6"/>
        <v>1040569.1048361408</v>
      </c>
      <c r="AP31" s="95">
        <f t="shared" si="6"/>
        <v>1130818.5327642239</v>
      </c>
      <c r="AQ31" s="95">
        <f t="shared" si="6"/>
        <v>1225580.4320887111</v>
      </c>
      <c r="AR31" s="95">
        <f t="shared" si="6"/>
        <v>1325080.426379422</v>
      </c>
      <c r="AS31" s="95">
        <f t="shared" si="6"/>
        <v>1429555.4203846694</v>
      </c>
      <c r="AT31" s="95">
        <f t="shared" si="6"/>
        <v>1539254.164090178</v>
      </c>
      <c r="AU31" s="95">
        <f t="shared" si="6"/>
        <v>1654437.8449809628</v>
      </c>
      <c r="AV31" s="95">
        <f t="shared" si="6"/>
        <v>1775380.7099162859</v>
      </c>
      <c r="AW31" s="95">
        <f t="shared" si="6"/>
        <v>1902370.7180983762</v>
      </c>
      <c r="AX31" s="95">
        <f t="shared" si="6"/>
        <v>1410883.6780566785</v>
      </c>
      <c r="AY31" s="95">
        <f t="shared" si="6"/>
        <v>1601648.3536524328</v>
      </c>
      <c r="AZ31" s="95">
        <f t="shared" si="6"/>
        <v>1748655.1618742265</v>
      </c>
      <c r="BA31" s="95">
        <f t="shared" si="6"/>
        <v>1903012.3105071068</v>
      </c>
      <c r="BB31" s="95">
        <f t="shared" si="6"/>
        <v>2065087.3165716336</v>
      </c>
      <c r="BC31" s="95">
        <f t="shared" si="6"/>
        <v>2235266.0729393847</v>
      </c>
      <c r="BD31" s="95">
        <f t="shared" si="6"/>
        <v>2413953.7671255246</v>
      </c>
      <c r="BE31" s="95">
        <f t="shared" si="6"/>
        <v>2601575.8460209724</v>
      </c>
      <c r="BF31" s="95">
        <f t="shared" si="6"/>
        <v>2798579.0288611893</v>
      </c>
      <c r="BG31" s="95">
        <f t="shared" si="6"/>
        <v>3005432.3708434198</v>
      </c>
      <c r="BH31" s="95">
        <f t="shared" si="6"/>
        <v>3222628.3799247621</v>
      </c>
      <c r="BI31" s="95">
        <f t="shared" si="6"/>
        <v>3450684.1894601714</v>
      </c>
    </row>
    <row r="32" spans="1:61">
      <c r="A32" s="107"/>
      <c r="B32" s="108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AP32" s="108"/>
      <c r="AQ32" s="108"/>
      <c r="AR32" s="108"/>
      <c r="AS32" s="108"/>
      <c r="AT32" s="108"/>
      <c r="AU32" s="108"/>
      <c r="AV32" s="108"/>
      <c r="AW32" s="108"/>
      <c r="AX32" s="108"/>
      <c r="AY32" s="108"/>
      <c r="AZ32" s="108"/>
      <c r="BA32" s="108"/>
      <c r="BB32" s="108"/>
      <c r="BC32" s="108"/>
      <c r="BD32" s="108"/>
      <c r="BE32" s="108"/>
      <c r="BF32" s="108"/>
      <c r="BG32" s="108"/>
      <c r="BH32" s="108"/>
      <c r="BI32" s="108"/>
    </row>
    <row r="33" spans="1:61">
      <c r="A33" s="109" t="s">
        <v>178</v>
      </c>
      <c r="B33" s="110">
        <f t="shared" ref="B33:AG33" si="7">IFERROR(B31/B3,"")</f>
        <v>2.3698270556218305E-2</v>
      </c>
      <c r="C33" s="110">
        <f t="shared" si="7"/>
        <v>4.0483757821571272E-2</v>
      </c>
      <c r="D33" s="110">
        <f t="shared" si="7"/>
        <v>5.6780347399583556E-2</v>
      </c>
      <c r="E33" s="110">
        <f t="shared" si="7"/>
        <v>7.2602279028722114E-2</v>
      </c>
      <c r="F33" s="110">
        <f t="shared" si="7"/>
        <v>8.796337769778835E-2</v>
      </c>
      <c r="G33" s="110">
        <f t="shared" si="7"/>
        <v>0.10287706572600808</v>
      </c>
      <c r="H33" s="110">
        <f t="shared" si="7"/>
        <v>0.11735637449127016</v>
      </c>
      <c r="I33" s="110">
        <f t="shared" si="7"/>
        <v>0.13141395581676701</v>
      </c>
      <c r="J33" s="110">
        <f t="shared" si="7"/>
        <v>0.14506209302598749</v>
      </c>
      <c r="K33" s="110">
        <f t="shared" si="7"/>
        <v>0.15831271167571595</v>
      </c>
      <c r="L33" s="110">
        <f t="shared" si="7"/>
        <v>0.17117738997642329</v>
      </c>
      <c r="M33" s="110">
        <f t="shared" si="7"/>
        <v>0.18366736890914881</v>
      </c>
      <c r="N33" s="110">
        <f t="shared" si="7"/>
        <v>4.8641366316232407E-2</v>
      </c>
      <c r="O33" s="110">
        <f t="shared" si="7"/>
        <v>0.10960559746980408</v>
      </c>
      <c r="P33" s="110">
        <f t="shared" si="7"/>
        <v>0.14985540694169669</v>
      </c>
      <c r="Q33" s="110">
        <f t="shared" si="7"/>
        <v>0.18644614282523553</v>
      </c>
      <c r="R33" s="110">
        <f t="shared" si="7"/>
        <v>0.21971044817390722</v>
      </c>
      <c r="S33" s="110">
        <f t="shared" si="7"/>
        <v>0.24995072576360872</v>
      </c>
      <c r="T33" s="110">
        <f t="shared" si="7"/>
        <v>0.27744188720879187</v>
      </c>
      <c r="U33" s="110">
        <f t="shared" si="7"/>
        <v>0.30243385215895852</v>
      </c>
      <c r="V33" s="110">
        <f t="shared" si="7"/>
        <v>0.32515382029547346</v>
      </c>
      <c r="W33" s="110">
        <f t="shared" si="7"/>
        <v>0.34580833678321438</v>
      </c>
      <c r="X33" s="110">
        <f t="shared" si="7"/>
        <v>0.36458516995388801</v>
      </c>
      <c r="Y33" s="110">
        <f t="shared" si="7"/>
        <v>0.38165501829086401</v>
      </c>
      <c r="Z33" s="110">
        <f t="shared" si="7"/>
        <v>0.24875341181400504</v>
      </c>
      <c r="AA33" s="110">
        <f t="shared" si="7"/>
        <v>0.27606816978216031</v>
      </c>
      <c r="AB33" s="110">
        <f t="shared" si="7"/>
        <v>0.28922461415732537</v>
      </c>
      <c r="AC33" s="110">
        <f t="shared" si="7"/>
        <v>0.30175456118129185</v>
      </c>
      <c r="AD33" s="110">
        <f t="shared" si="7"/>
        <v>0.3136878440612601</v>
      </c>
      <c r="AE33" s="110">
        <f t="shared" si="7"/>
        <v>0.32505287537551547</v>
      </c>
      <c r="AF33" s="110">
        <f t="shared" si="7"/>
        <v>0.33587671472242553</v>
      </c>
      <c r="AG33" s="110">
        <f t="shared" si="7"/>
        <v>0.34618513314805383</v>
      </c>
      <c r="AH33" s="110">
        <f t="shared" ref="AH33:BI33" si="8">IFERROR(AH31/AH3,"")</f>
        <v>0.35600267450579537</v>
      </c>
      <c r="AI33" s="110">
        <f t="shared" si="8"/>
        <v>0.36535271389412044</v>
      </c>
      <c r="AJ33" s="110">
        <f t="shared" si="8"/>
        <v>0.37425751331157303</v>
      </c>
      <c r="AK33" s="110">
        <f t="shared" si="8"/>
        <v>0.38273827466152782</v>
      </c>
      <c r="AL33" s="110">
        <f t="shared" si="8"/>
        <v>0.26922076594144551</v>
      </c>
      <c r="AM33" s="110">
        <f t="shared" si="8"/>
        <v>0.29445252472644029</v>
      </c>
      <c r="AN33" s="110">
        <f t="shared" si="8"/>
        <v>0.30673352362806816</v>
      </c>
      <c r="AO33" s="110">
        <f t="shared" si="8"/>
        <v>0.31842971305818973</v>
      </c>
      <c r="AP33" s="110">
        <f t="shared" si="8"/>
        <v>0.32956894108687712</v>
      </c>
      <c r="AQ33" s="110">
        <f t="shared" si="8"/>
        <v>0.34017772968562704</v>
      </c>
      <c r="AR33" s="110">
        <f t="shared" si="8"/>
        <v>0.3502813378749125</v>
      </c>
      <c r="AS33" s="110">
        <f t="shared" si="8"/>
        <v>0.35990382186470843</v>
      </c>
      <c r="AT33" s="110">
        <f t="shared" si="8"/>
        <v>0.36906809233118049</v>
      </c>
      <c r="AU33" s="110">
        <f t="shared" si="8"/>
        <v>0.37779596896591588</v>
      </c>
      <c r="AV33" s="110">
        <f t="shared" si="8"/>
        <v>0.38610823242756859</v>
      </c>
      <c r="AW33" s="110">
        <f t="shared" si="8"/>
        <v>0.39402467381961881</v>
      </c>
      <c r="AX33" s="110">
        <f t="shared" si="8"/>
        <v>0.27831087447882202</v>
      </c>
      <c r="AY33" s="110">
        <f t="shared" si="8"/>
        <v>0.30089629428392428</v>
      </c>
      <c r="AZ33" s="110">
        <f t="shared" si="8"/>
        <v>0.3128704470161483</v>
      </c>
      <c r="BA33" s="110">
        <f t="shared" si="8"/>
        <v>0.32427440199921831</v>
      </c>
      <c r="BB33" s="110">
        <f t="shared" si="8"/>
        <v>0.33513531150690445</v>
      </c>
      <c r="BC33" s="110">
        <f t="shared" si="8"/>
        <v>0.3454790348475576</v>
      </c>
      <c r="BD33" s="110">
        <f t="shared" si="8"/>
        <v>0.35533019993389414</v>
      </c>
      <c r="BE33" s="110">
        <f t="shared" si="8"/>
        <v>0.36471226192088141</v>
      </c>
      <c r="BF33" s="110">
        <f t="shared" si="8"/>
        <v>0.37364755905134511</v>
      </c>
      <c r="BG33" s="110">
        <f t="shared" si="8"/>
        <v>0.38215736584226323</v>
      </c>
      <c r="BH33" s="110">
        <f t="shared" si="8"/>
        <v>0.39026194373837569</v>
      </c>
      <c r="BI33" s="110">
        <f t="shared" si="8"/>
        <v>0.39798058935372088</v>
      </c>
    </row>
    <row r="35" spans="1:61">
      <c r="B35" s="69"/>
      <c r="C35" s="69"/>
    </row>
    <row r="36" spans="1:61">
      <c r="B36" s="69"/>
      <c r="C36" s="69"/>
    </row>
    <row r="37" spans="1:61">
      <c r="B37" s="69"/>
      <c r="C37" s="69"/>
    </row>
    <row r="38" spans="1:61">
      <c r="B38" s="69"/>
      <c r="C38" s="69"/>
    </row>
    <row r="39" spans="1:61">
      <c r="B39" s="69"/>
      <c r="C39" s="69"/>
      <c r="D39" s="111"/>
    </row>
  </sheetData>
  <pageMargins left="0.7" right="0.7" top="0.75" bottom="0.75" header="0.3" footer="0.3"/>
  <pageSetup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1"/>
  <dimension ref="A1:BI33"/>
  <sheetViews>
    <sheetView zoomScale="85" zoomScaleNormal="85" workbookViewId="0">
      <selection activeCell="A2" sqref="A2"/>
    </sheetView>
  </sheetViews>
  <sheetFormatPr defaultColWidth="9.109375" defaultRowHeight="15.6"/>
  <cols>
    <col min="1" max="1" width="43.109375" style="69" customWidth="1"/>
    <col min="2" max="13" width="14" style="84" customWidth="1"/>
    <col min="14" max="61" width="14" style="69" customWidth="1"/>
    <col min="62" max="16384" width="9.109375" style="69"/>
  </cols>
  <sheetData>
    <row r="1" spans="1:61">
      <c r="A1" s="81"/>
    </row>
    <row r="2" spans="1:61" s="68" customFormat="1" ht="17.399999999999999">
      <c r="A2" s="85" t="s">
        <v>179</v>
      </c>
      <c r="B2" s="86" t="s">
        <v>15</v>
      </c>
      <c r="C2" s="86" t="s">
        <v>41</v>
      </c>
      <c r="D2" s="86" t="s">
        <v>42</v>
      </c>
      <c r="E2" s="86" t="s">
        <v>43</v>
      </c>
      <c r="F2" s="86" t="s">
        <v>44</v>
      </c>
      <c r="G2" s="86" t="s">
        <v>45</v>
      </c>
      <c r="H2" s="86" t="s">
        <v>46</v>
      </c>
      <c r="I2" s="86" t="s">
        <v>47</v>
      </c>
      <c r="J2" s="86" t="s">
        <v>48</v>
      </c>
      <c r="K2" s="86" t="s">
        <v>49</v>
      </c>
      <c r="L2" s="86" t="s">
        <v>50</v>
      </c>
      <c r="M2" s="86" t="s">
        <v>51</v>
      </c>
      <c r="N2" s="86" t="s">
        <v>20</v>
      </c>
      <c r="O2" s="86" t="s">
        <v>52</v>
      </c>
      <c r="P2" s="86" t="s">
        <v>53</v>
      </c>
      <c r="Q2" s="86" t="s">
        <v>54</v>
      </c>
      <c r="R2" s="86" t="s">
        <v>55</v>
      </c>
      <c r="S2" s="86" t="s">
        <v>56</v>
      </c>
      <c r="T2" s="86" t="s">
        <v>57</v>
      </c>
      <c r="U2" s="86" t="s">
        <v>58</v>
      </c>
      <c r="V2" s="86" t="s">
        <v>59</v>
      </c>
      <c r="W2" s="86" t="s">
        <v>60</v>
      </c>
      <c r="X2" s="86" t="s">
        <v>61</v>
      </c>
      <c r="Y2" s="86" t="s">
        <v>62</v>
      </c>
      <c r="Z2" s="86" t="s">
        <v>63</v>
      </c>
      <c r="AA2" s="86" t="s">
        <v>64</v>
      </c>
      <c r="AB2" s="86" t="s">
        <v>65</v>
      </c>
      <c r="AC2" s="86" t="s">
        <v>66</v>
      </c>
      <c r="AD2" s="86" t="s">
        <v>67</v>
      </c>
      <c r="AE2" s="86" t="s">
        <v>68</v>
      </c>
      <c r="AF2" s="86" t="s">
        <v>69</v>
      </c>
      <c r="AG2" s="86" t="s">
        <v>70</v>
      </c>
      <c r="AH2" s="86" t="s">
        <v>71</v>
      </c>
      <c r="AI2" s="86" t="s">
        <v>72</v>
      </c>
      <c r="AJ2" s="86" t="s">
        <v>73</v>
      </c>
      <c r="AK2" s="86" t="s">
        <v>74</v>
      </c>
      <c r="AL2" s="86" t="s">
        <v>75</v>
      </c>
      <c r="AM2" s="86" t="s">
        <v>76</v>
      </c>
      <c r="AN2" s="86" t="s">
        <v>77</v>
      </c>
      <c r="AO2" s="86" t="s">
        <v>78</v>
      </c>
      <c r="AP2" s="86" t="s">
        <v>79</v>
      </c>
      <c r="AQ2" s="86" t="s">
        <v>80</v>
      </c>
      <c r="AR2" s="86" t="s">
        <v>81</v>
      </c>
      <c r="AS2" s="86" t="s">
        <v>82</v>
      </c>
      <c r="AT2" s="86" t="s">
        <v>83</v>
      </c>
      <c r="AU2" s="86" t="s">
        <v>84</v>
      </c>
      <c r="AV2" s="86" t="s">
        <v>85</v>
      </c>
      <c r="AW2" s="86" t="s">
        <v>86</v>
      </c>
      <c r="AX2" s="86" t="s">
        <v>87</v>
      </c>
      <c r="AY2" s="86" t="s">
        <v>88</v>
      </c>
      <c r="AZ2" s="86" t="s">
        <v>89</v>
      </c>
      <c r="BA2" s="86" t="s">
        <v>90</v>
      </c>
      <c r="BB2" s="86" t="s">
        <v>91</v>
      </c>
      <c r="BC2" s="86" t="s">
        <v>92</v>
      </c>
      <c r="BD2" s="86" t="s">
        <v>93</v>
      </c>
      <c r="BE2" s="86" t="s">
        <v>94</v>
      </c>
      <c r="BF2" s="86" t="s">
        <v>95</v>
      </c>
      <c r="BG2" s="86" t="s">
        <v>96</v>
      </c>
      <c r="BH2" s="86" t="s">
        <v>97</v>
      </c>
      <c r="BI2" s="86" t="s">
        <v>98</v>
      </c>
    </row>
    <row r="3" spans="1:61">
      <c r="A3" s="87" t="s">
        <v>180</v>
      </c>
      <c r="B3" s="88"/>
      <c r="C3" s="88"/>
      <c r="D3" s="88"/>
      <c r="E3" s="88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</row>
    <row r="4" spans="1:61">
      <c r="A4" s="90" t="str">
        <f>Depreciation!B53</f>
        <v>Metal Fabrication Shop Acquisition</v>
      </c>
      <c r="B4" s="91">
        <f>Depreciation!C53</f>
        <v>1995000</v>
      </c>
      <c r="C4" s="91">
        <f>Depreciation!D53</f>
        <v>1990000</v>
      </c>
      <c r="D4" s="91">
        <f>Depreciation!E53</f>
        <v>1985000</v>
      </c>
      <c r="E4" s="91">
        <f>Depreciation!F53</f>
        <v>1980000</v>
      </c>
      <c r="F4" s="91">
        <f>Depreciation!G53</f>
        <v>1975000</v>
      </c>
      <c r="G4" s="91">
        <f>Depreciation!H53</f>
        <v>1970000</v>
      </c>
      <c r="H4" s="91">
        <f>Depreciation!I53</f>
        <v>1965000</v>
      </c>
      <c r="I4" s="91">
        <f>Depreciation!J53</f>
        <v>1960000</v>
      </c>
      <c r="J4" s="91">
        <f>Depreciation!K53</f>
        <v>1955000</v>
      </c>
      <c r="K4" s="91">
        <f>Depreciation!L53</f>
        <v>1950000</v>
      </c>
      <c r="L4" s="91">
        <f>Depreciation!M53</f>
        <v>1945000</v>
      </c>
      <c r="M4" s="91">
        <f>Depreciation!N53</f>
        <v>1940000</v>
      </c>
      <c r="N4" s="91">
        <f>Depreciation!O53</f>
        <v>1935000</v>
      </c>
      <c r="O4" s="91">
        <f>Depreciation!P53</f>
        <v>1930000</v>
      </c>
      <c r="P4" s="91">
        <f>Depreciation!Q53</f>
        <v>1925000</v>
      </c>
      <c r="Q4" s="91">
        <f>Depreciation!R53</f>
        <v>1920000</v>
      </c>
      <c r="R4" s="91">
        <f>Depreciation!S53</f>
        <v>1915000</v>
      </c>
      <c r="S4" s="91">
        <f>Depreciation!T53</f>
        <v>1910000</v>
      </c>
      <c r="T4" s="91">
        <f>Depreciation!U53</f>
        <v>1905000</v>
      </c>
      <c r="U4" s="91">
        <f>Depreciation!V53</f>
        <v>1900000</v>
      </c>
      <c r="V4" s="91">
        <f>Depreciation!W53</f>
        <v>1895000</v>
      </c>
      <c r="W4" s="91">
        <f>Depreciation!X53</f>
        <v>1890000</v>
      </c>
      <c r="X4" s="91">
        <f>Depreciation!Y53</f>
        <v>1885000</v>
      </c>
      <c r="Y4" s="91">
        <f>Depreciation!Z53</f>
        <v>1880000</v>
      </c>
      <c r="Z4" s="91">
        <f>Depreciation!AA53</f>
        <v>1875000</v>
      </c>
      <c r="AA4" s="91">
        <f>Depreciation!AB53</f>
        <v>1870000</v>
      </c>
      <c r="AB4" s="91">
        <f>Depreciation!AC53</f>
        <v>1865000</v>
      </c>
      <c r="AC4" s="91">
        <f>Depreciation!AD53</f>
        <v>1860000</v>
      </c>
      <c r="AD4" s="91">
        <f>Depreciation!AE53</f>
        <v>1855000</v>
      </c>
      <c r="AE4" s="91">
        <f>Depreciation!AF53</f>
        <v>1850000</v>
      </c>
      <c r="AF4" s="91">
        <f>Depreciation!AG53</f>
        <v>1845000</v>
      </c>
      <c r="AG4" s="91">
        <f>Depreciation!AH53</f>
        <v>1840000</v>
      </c>
      <c r="AH4" s="91">
        <f>Depreciation!AI53</f>
        <v>1835000</v>
      </c>
      <c r="AI4" s="91">
        <f>Depreciation!AJ53</f>
        <v>1830000</v>
      </c>
      <c r="AJ4" s="91">
        <f>Depreciation!AK53</f>
        <v>1825000</v>
      </c>
      <c r="AK4" s="91">
        <f>Depreciation!AL53</f>
        <v>1820000</v>
      </c>
      <c r="AL4" s="91">
        <f>Depreciation!AM53</f>
        <v>1815000</v>
      </c>
      <c r="AM4" s="91">
        <f>Depreciation!AN53</f>
        <v>1810000</v>
      </c>
      <c r="AN4" s="91">
        <f>Depreciation!AO53</f>
        <v>1805000</v>
      </c>
      <c r="AO4" s="91">
        <f>Depreciation!AP53</f>
        <v>1800000</v>
      </c>
      <c r="AP4" s="91">
        <f>Depreciation!AQ53</f>
        <v>1795000</v>
      </c>
      <c r="AQ4" s="91">
        <f>Depreciation!AR53</f>
        <v>1790000</v>
      </c>
      <c r="AR4" s="91">
        <f>Depreciation!AS53</f>
        <v>1785000</v>
      </c>
      <c r="AS4" s="91">
        <f>Depreciation!AT53</f>
        <v>1780000</v>
      </c>
      <c r="AT4" s="91">
        <f>Depreciation!AU53</f>
        <v>1775000</v>
      </c>
      <c r="AU4" s="91">
        <f>Depreciation!AV53</f>
        <v>1770000</v>
      </c>
      <c r="AV4" s="91">
        <f>Depreciation!AW53</f>
        <v>1765000</v>
      </c>
      <c r="AW4" s="91">
        <f>Depreciation!AX53</f>
        <v>1760000</v>
      </c>
      <c r="AX4" s="91">
        <f>Depreciation!AY53</f>
        <v>1755000</v>
      </c>
      <c r="AY4" s="91">
        <f>Depreciation!AZ53</f>
        <v>1750000</v>
      </c>
      <c r="AZ4" s="91">
        <f>Depreciation!BA53</f>
        <v>1745000</v>
      </c>
      <c r="BA4" s="91">
        <f>Depreciation!BB53</f>
        <v>1740000</v>
      </c>
      <c r="BB4" s="91">
        <f>Depreciation!BC53</f>
        <v>1735000</v>
      </c>
      <c r="BC4" s="91">
        <f>Depreciation!BD53</f>
        <v>1730000</v>
      </c>
      <c r="BD4" s="91">
        <f>Depreciation!BE53</f>
        <v>1725000</v>
      </c>
      <c r="BE4" s="91">
        <f>Depreciation!BF53</f>
        <v>1720000</v>
      </c>
      <c r="BF4" s="91">
        <f>Depreciation!BG53</f>
        <v>1715000</v>
      </c>
      <c r="BG4" s="91">
        <f>Depreciation!BH53</f>
        <v>1710000</v>
      </c>
      <c r="BH4" s="91">
        <f>Depreciation!BI53</f>
        <v>1705000</v>
      </c>
      <c r="BI4" s="91">
        <f>Depreciation!BJ53</f>
        <v>1700000</v>
      </c>
    </row>
    <row r="5" spans="1:61">
      <c r="A5" s="90" t="str">
        <f>Depreciation!B54</f>
        <v>R&amp;D Surveillance System</v>
      </c>
      <c r="B5" s="91">
        <f>Depreciation!C54</f>
        <v>1496250</v>
      </c>
      <c r="C5" s="91">
        <f>Depreciation!D54</f>
        <v>1492500</v>
      </c>
      <c r="D5" s="91">
        <f>Depreciation!E54</f>
        <v>1488750</v>
      </c>
      <c r="E5" s="91">
        <f>Depreciation!F54</f>
        <v>1485000</v>
      </c>
      <c r="F5" s="91">
        <f>Depreciation!G54</f>
        <v>1481250</v>
      </c>
      <c r="G5" s="91">
        <f>Depreciation!H54</f>
        <v>1477500</v>
      </c>
      <c r="H5" s="91">
        <f>Depreciation!I54</f>
        <v>1473750</v>
      </c>
      <c r="I5" s="91">
        <f>Depreciation!J54</f>
        <v>1470000</v>
      </c>
      <c r="J5" s="91">
        <f>Depreciation!K54</f>
        <v>1466250</v>
      </c>
      <c r="K5" s="91">
        <f>Depreciation!L54</f>
        <v>1462500</v>
      </c>
      <c r="L5" s="91">
        <f>Depreciation!M54</f>
        <v>1458750</v>
      </c>
      <c r="M5" s="91">
        <f>Depreciation!N54</f>
        <v>1455000</v>
      </c>
      <c r="N5" s="91">
        <f>Depreciation!O54</f>
        <v>1451250</v>
      </c>
      <c r="O5" s="91">
        <f>Depreciation!P54</f>
        <v>1447500</v>
      </c>
      <c r="P5" s="91">
        <f>Depreciation!Q54</f>
        <v>1443750</v>
      </c>
      <c r="Q5" s="91">
        <f>Depreciation!R54</f>
        <v>1440000</v>
      </c>
      <c r="R5" s="91">
        <f>Depreciation!S54</f>
        <v>1436250</v>
      </c>
      <c r="S5" s="91">
        <f>Depreciation!T54</f>
        <v>1432500</v>
      </c>
      <c r="T5" s="91">
        <f>Depreciation!U54</f>
        <v>1428750</v>
      </c>
      <c r="U5" s="91">
        <f>Depreciation!V54</f>
        <v>1425000</v>
      </c>
      <c r="V5" s="91">
        <f>Depreciation!W54</f>
        <v>1421250</v>
      </c>
      <c r="W5" s="91">
        <f>Depreciation!X54</f>
        <v>1417500</v>
      </c>
      <c r="X5" s="91">
        <f>Depreciation!Y54</f>
        <v>1413750</v>
      </c>
      <c r="Y5" s="91">
        <f>Depreciation!Z54</f>
        <v>1410000</v>
      </c>
      <c r="Z5" s="91">
        <f>Depreciation!AA54</f>
        <v>1406250</v>
      </c>
      <c r="AA5" s="91">
        <f>Depreciation!AB54</f>
        <v>1402500</v>
      </c>
      <c r="AB5" s="91">
        <f>Depreciation!AC54</f>
        <v>1398750</v>
      </c>
      <c r="AC5" s="91">
        <f>Depreciation!AD54</f>
        <v>1395000</v>
      </c>
      <c r="AD5" s="91">
        <f>Depreciation!AE54</f>
        <v>1391250</v>
      </c>
      <c r="AE5" s="91">
        <f>Depreciation!AF54</f>
        <v>1387500</v>
      </c>
      <c r="AF5" s="91">
        <f>Depreciation!AG54</f>
        <v>1383750</v>
      </c>
      <c r="AG5" s="91">
        <f>Depreciation!AH54</f>
        <v>1380000</v>
      </c>
      <c r="AH5" s="91">
        <f>Depreciation!AI54</f>
        <v>1376250</v>
      </c>
      <c r="AI5" s="91">
        <f>Depreciation!AJ54</f>
        <v>1372500</v>
      </c>
      <c r="AJ5" s="91">
        <f>Depreciation!AK54</f>
        <v>1368750</v>
      </c>
      <c r="AK5" s="91">
        <f>Depreciation!AL54</f>
        <v>1365000</v>
      </c>
      <c r="AL5" s="91">
        <f>Depreciation!AM54</f>
        <v>1361250</v>
      </c>
      <c r="AM5" s="91">
        <f>Depreciation!AN54</f>
        <v>1357500</v>
      </c>
      <c r="AN5" s="91">
        <f>Depreciation!AO54</f>
        <v>1353750</v>
      </c>
      <c r="AO5" s="91">
        <f>Depreciation!AP54</f>
        <v>1350000</v>
      </c>
      <c r="AP5" s="91">
        <f>Depreciation!AQ54</f>
        <v>1346250</v>
      </c>
      <c r="AQ5" s="91">
        <f>Depreciation!AR54</f>
        <v>1342500</v>
      </c>
      <c r="AR5" s="91">
        <f>Depreciation!AS54</f>
        <v>1338750</v>
      </c>
      <c r="AS5" s="91">
        <f>Depreciation!AT54</f>
        <v>1335000</v>
      </c>
      <c r="AT5" s="91">
        <f>Depreciation!AU54</f>
        <v>1331250</v>
      </c>
      <c r="AU5" s="91">
        <f>Depreciation!AV54</f>
        <v>1327500</v>
      </c>
      <c r="AV5" s="91">
        <f>Depreciation!AW54</f>
        <v>1323750</v>
      </c>
      <c r="AW5" s="91">
        <f>Depreciation!AX54</f>
        <v>1320000</v>
      </c>
      <c r="AX5" s="91">
        <f>Depreciation!AY54</f>
        <v>1316250</v>
      </c>
      <c r="AY5" s="91">
        <f>Depreciation!AZ54</f>
        <v>1312500</v>
      </c>
      <c r="AZ5" s="91">
        <f>Depreciation!BA54</f>
        <v>1308750</v>
      </c>
      <c r="BA5" s="91">
        <f>Depreciation!BB54</f>
        <v>1305000</v>
      </c>
      <c r="BB5" s="91">
        <f>Depreciation!BC54</f>
        <v>1301250</v>
      </c>
      <c r="BC5" s="91">
        <f>Depreciation!BD54</f>
        <v>1297500</v>
      </c>
      <c r="BD5" s="91">
        <f>Depreciation!BE54</f>
        <v>1293750</v>
      </c>
      <c r="BE5" s="91">
        <f>Depreciation!BF54</f>
        <v>1290000</v>
      </c>
      <c r="BF5" s="91">
        <f>Depreciation!BG54</f>
        <v>1286250</v>
      </c>
      <c r="BG5" s="91">
        <f>Depreciation!BH54</f>
        <v>1282500</v>
      </c>
      <c r="BH5" s="91">
        <f>Depreciation!BI54</f>
        <v>1278750</v>
      </c>
      <c r="BI5" s="91">
        <f>Depreciation!BJ54</f>
        <v>1275000</v>
      </c>
    </row>
    <row r="6" spans="1:61">
      <c r="A6" s="90" t="str">
        <f>Depreciation!B55</f>
        <v>Shop Upgrades</v>
      </c>
      <c r="B6" s="91">
        <f>Depreciation!C55</f>
        <v>947625</v>
      </c>
      <c r="C6" s="91">
        <f>Depreciation!D55</f>
        <v>945250</v>
      </c>
      <c r="D6" s="91">
        <f>Depreciation!E55</f>
        <v>942875</v>
      </c>
      <c r="E6" s="91">
        <f>Depreciation!F55</f>
        <v>940500</v>
      </c>
      <c r="F6" s="91">
        <f>Depreciation!G55</f>
        <v>938125</v>
      </c>
      <c r="G6" s="91">
        <f>Depreciation!H55</f>
        <v>935750</v>
      </c>
      <c r="H6" s="91">
        <f>Depreciation!I55</f>
        <v>933375</v>
      </c>
      <c r="I6" s="91">
        <f>Depreciation!J55</f>
        <v>931000</v>
      </c>
      <c r="J6" s="91">
        <f>Depreciation!K55</f>
        <v>928625</v>
      </c>
      <c r="K6" s="91">
        <f>Depreciation!L55</f>
        <v>926250</v>
      </c>
      <c r="L6" s="91">
        <f>Depreciation!M55</f>
        <v>923875</v>
      </c>
      <c r="M6" s="91">
        <f>Depreciation!N55</f>
        <v>921500</v>
      </c>
      <c r="N6" s="91">
        <f>Depreciation!O55</f>
        <v>919125</v>
      </c>
      <c r="O6" s="91">
        <f>Depreciation!P55</f>
        <v>916750</v>
      </c>
      <c r="P6" s="91">
        <f>Depreciation!Q55</f>
        <v>914375</v>
      </c>
      <c r="Q6" s="91">
        <f>Depreciation!R55</f>
        <v>912000</v>
      </c>
      <c r="R6" s="91">
        <f>Depreciation!S55</f>
        <v>909625</v>
      </c>
      <c r="S6" s="91">
        <f>Depreciation!T55</f>
        <v>907250</v>
      </c>
      <c r="T6" s="91">
        <f>Depreciation!U55</f>
        <v>904875</v>
      </c>
      <c r="U6" s="91">
        <f>Depreciation!V55</f>
        <v>902500</v>
      </c>
      <c r="V6" s="91">
        <f>Depreciation!W55</f>
        <v>900125</v>
      </c>
      <c r="W6" s="91">
        <f>Depreciation!X55</f>
        <v>897750</v>
      </c>
      <c r="X6" s="91">
        <f>Depreciation!Y55</f>
        <v>895375</v>
      </c>
      <c r="Y6" s="91">
        <f>Depreciation!Z55</f>
        <v>893000</v>
      </c>
      <c r="Z6" s="91">
        <f>Depreciation!AA55</f>
        <v>890625</v>
      </c>
      <c r="AA6" s="91">
        <f>Depreciation!AB55</f>
        <v>888250</v>
      </c>
      <c r="AB6" s="91">
        <f>Depreciation!AC55</f>
        <v>885875</v>
      </c>
      <c r="AC6" s="91">
        <f>Depreciation!AD55</f>
        <v>883500</v>
      </c>
      <c r="AD6" s="91">
        <f>Depreciation!AE55</f>
        <v>881125</v>
      </c>
      <c r="AE6" s="91">
        <f>Depreciation!AF55</f>
        <v>878750</v>
      </c>
      <c r="AF6" s="91">
        <f>Depreciation!AG55</f>
        <v>876375</v>
      </c>
      <c r="AG6" s="91">
        <f>Depreciation!AH55</f>
        <v>874000</v>
      </c>
      <c r="AH6" s="91">
        <f>Depreciation!AI55</f>
        <v>871625</v>
      </c>
      <c r="AI6" s="91">
        <f>Depreciation!AJ55</f>
        <v>869250</v>
      </c>
      <c r="AJ6" s="91">
        <f>Depreciation!AK55</f>
        <v>866875</v>
      </c>
      <c r="AK6" s="91">
        <f>Depreciation!AL55</f>
        <v>864500</v>
      </c>
      <c r="AL6" s="91">
        <f>Depreciation!AM55</f>
        <v>862125</v>
      </c>
      <c r="AM6" s="91">
        <f>Depreciation!AN55</f>
        <v>859750</v>
      </c>
      <c r="AN6" s="91">
        <f>Depreciation!AO55</f>
        <v>857375</v>
      </c>
      <c r="AO6" s="91">
        <f>Depreciation!AP55</f>
        <v>855000</v>
      </c>
      <c r="AP6" s="91">
        <f>Depreciation!AQ55</f>
        <v>852625</v>
      </c>
      <c r="AQ6" s="91">
        <f>Depreciation!AR55</f>
        <v>850250</v>
      </c>
      <c r="AR6" s="91">
        <f>Depreciation!AS55</f>
        <v>847875</v>
      </c>
      <c r="AS6" s="91">
        <f>Depreciation!AT55</f>
        <v>845500</v>
      </c>
      <c r="AT6" s="91">
        <f>Depreciation!AU55</f>
        <v>843125</v>
      </c>
      <c r="AU6" s="91">
        <f>Depreciation!AV55</f>
        <v>840750</v>
      </c>
      <c r="AV6" s="91">
        <f>Depreciation!AW55</f>
        <v>838375</v>
      </c>
      <c r="AW6" s="91">
        <f>Depreciation!AX55</f>
        <v>836000</v>
      </c>
      <c r="AX6" s="91">
        <f>Depreciation!AY55</f>
        <v>833625</v>
      </c>
      <c r="AY6" s="91">
        <f>Depreciation!AZ55</f>
        <v>831250</v>
      </c>
      <c r="AZ6" s="91">
        <f>Depreciation!BA55</f>
        <v>828875</v>
      </c>
      <c r="BA6" s="91">
        <f>Depreciation!BB55</f>
        <v>826500</v>
      </c>
      <c r="BB6" s="91">
        <f>Depreciation!BC55</f>
        <v>824125</v>
      </c>
      <c r="BC6" s="91">
        <f>Depreciation!BD55</f>
        <v>821750</v>
      </c>
      <c r="BD6" s="91">
        <f>Depreciation!BE55</f>
        <v>819375</v>
      </c>
      <c r="BE6" s="91">
        <f>Depreciation!BF55</f>
        <v>817000</v>
      </c>
      <c r="BF6" s="91">
        <f>Depreciation!BG55</f>
        <v>814625</v>
      </c>
      <c r="BG6" s="91">
        <f>Depreciation!BH55</f>
        <v>812250</v>
      </c>
      <c r="BH6" s="91">
        <f>Depreciation!BI55</f>
        <v>809875</v>
      </c>
      <c r="BI6" s="91">
        <f>Depreciation!BJ55</f>
        <v>807500</v>
      </c>
    </row>
    <row r="7" spans="1:61">
      <c r="A7" s="90"/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</row>
    <row r="8" spans="1:61">
      <c r="A8" s="92" t="s">
        <v>181</v>
      </c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1"/>
      <c r="AS8" s="91"/>
      <c r="AT8" s="91"/>
      <c r="AU8" s="91"/>
      <c r="AV8" s="91"/>
      <c r="AW8" s="91"/>
      <c r="AX8" s="91"/>
      <c r="AY8" s="91"/>
      <c r="AZ8" s="91"/>
      <c r="BA8" s="91"/>
      <c r="BB8" s="91"/>
      <c r="BC8" s="91"/>
      <c r="BD8" s="91"/>
      <c r="BE8" s="91"/>
      <c r="BF8" s="91"/>
      <c r="BG8" s="91"/>
      <c r="BH8" s="91"/>
      <c r="BI8" s="91"/>
    </row>
    <row r="9" spans="1:61">
      <c r="A9" s="93" t="s">
        <v>204</v>
      </c>
      <c r="B9" s="91">
        <f>'Monthly Income Statement '!B31+'Monthly Income Statement '!B25+'Monthly Income Statement '!B21-'Monthly Income Statement '!B3+'Use of Proceeds'!B9-'Loan Schedule'!B10+'AR &amp; AP'!B13+'Use of Proceeds'!B19</f>
        <v>5514845.796021007</v>
      </c>
      <c r="C9" s="91">
        <f>B9+'Monthly Income Statement '!C31+'Monthly Income Statement '!C25+'Monthly Income Statement '!C21-'Loan Schedule'!C10-'Monthly Income Statement '!C3+'AR &amp; AP'!C13</f>
        <v>5482841.592042014</v>
      </c>
      <c r="D9" s="91">
        <f>C9+'Monthly Income Statement '!D31+'Monthly Income Statement '!D25+'Monthly Income Statement '!D21-'Loan Schedule'!D10-'Monthly Income Statement '!D3+'AR &amp; AP'!D13</f>
        <v>5506581.888063021</v>
      </c>
      <c r="E9" s="91">
        <f>D9+'Monthly Income Statement '!E31+'Monthly Income Statement '!E25+'Monthly Income Statement '!E21-'Loan Schedule'!E10-'Monthly Income Statement '!E3+'AR &amp; AP'!E13</f>
        <v>5535239.019084028</v>
      </c>
      <c r="F9" s="91">
        <f>E9+'Monthly Income Statement '!F31+'Monthly Income Statement '!F25+'Monthly Income Statement '!F21-'Loan Schedule'!F10-'Monthly Income Statement '!F3+'AR &amp; AP'!F13</f>
        <v>5568960.4901550356</v>
      </c>
      <c r="G9" s="91">
        <f>F9+'Monthly Income Statement '!G31+'Monthly Income Statement '!G25+'Monthly Income Statement '!G21-'Loan Schedule'!G10-'Monthly Income Statement '!G3+'AR &amp; AP'!G13</f>
        <v>5607898.2314775428</v>
      </c>
      <c r="H9" s="91">
        <f>G9+'Monthly Income Statement '!H31+'Monthly Income Statement '!H25+'Monthly Income Statement '!H21-'Loan Schedule'!H10-'Monthly Income Statement '!H3+'AR &amp; AP'!H13</f>
        <v>5652208.7311590947</v>
      </c>
      <c r="I9" s="91">
        <f>H9+'Monthly Income Statement '!I31+'Monthly Income Statement '!I25+'Monthly Income Statement '!I21-'Loan Schedule'!I10-'Monthly Income Statement '!I3+'AR &amp; AP'!I13</f>
        <v>5702053.1719504632</v>
      </c>
      <c r="J9" s="91">
        <f>I9+'Monthly Income Statement '!J31+'Monthly Income Statement '!J25+'Monthly Income Statement '!J21-'Loan Schedule'!J10-'Monthly Income Statement '!J3+'AR &amp; AP'!J13</f>
        <v>5757597.5720849428</v>
      </c>
      <c r="K9" s="91">
        <f>J9+'Monthly Income Statement '!K31+'Monthly Income Statement '!K25+'Monthly Income Statement '!K21-'Loan Schedule'!K10-'Monthly Income Statement '!K3+'AR &amp; AP'!K13</f>
        <v>5819012.930342827</v>
      </c>
      <c r="L9" s="91">
        <f>K9+'Monthly Income Statement '!L31+'Monthly Income Statement '!L25+'Monthly Income Statement '!L21-'Loan Schedule'!L10-'Monthly Income Statement '!L3+'AR &amp; AP'!L13</f>
        <v>5886475.3754678173</v>
      </c>
      <c r="M9" s="91">
        <f>L9+'Monthly Income Statement '!M31+'Monthly Income Statement '!M25+'Monthly Income Statement '!M21-'Loan Schedule'!M10-'Monthly Income Statement '!M3+'AR &amp; AP'!M13</f>
        <v>5960166.3200659268</v>
      </c>
      <c r="N9" s="91">
        <f>M9+'Monthly Income Statement '!N31+'Monthly Income Statement '!N25+'Monthly Income Statement '!N21-'Loan Schedule'!N10-'Monthly Income Statement '!N3+'AR &amp; AP'!N13</f>
        <v>5962429.4287174596</v>
      </c>
      <c r="O9" s="91">
        <f>N9+'Monthly Income Statement '!O31+'Monthly Income Statement '!O25+'Monthly Income Statement '!O21-'Loan Schedule'!O10-'Monthly Income Statement '!O3+'AR &amp; AP'!O13</f>
        <v>5994054.0152066601</v>
      </c>
      <c r="P9" s="91">
        <f>O9+'Monthly Income Statement '!P31+'Monthly Income Statement '!P25+'Monthly Income Statement '!P21-'Loan Schedule'!P10-'Monthly Income Statement '!P3+'AR &amp; AP'!P13</f>
        <v>6078282.5208447184</v>
      </c>
      <c r="Q9" s="91">
        <f>P9+'Monthly Income Statement '!Q31+'Monthly Income Statement '!Q25+'Monthly Income Statement '!Q21-'Loan Schedule'!Q10-'Monthly Income Statement '!Q3+'AR &amp; AP'!Q13</f>
        <v>6195375.337546519</v>
      </c>
      <c r="R9" s="91">
        <f>Q9+'Monthly Income Statement '!R31+'Monthly Income Statement '!R25+'Monthly Income Statement '!R21-'Loan Schedule'!R10-'Monthly Income Statement '!R3+'AR &amp; AP'!R13</f>
        <v>6348618.8964184374</v>
      </c>
      <c r="S9" s="91">
        <f>R9+'Monthly Income Statement '!S31+'Monthly Income Statement '!S25+'Monthly Income Statement '!S21-'Loan Schedule'!S10-'Monthly Income Statement '!S3+'AR &amp; AP'!S13</f>
        <v>6541628.2716774847</v>
      </c>
      <c r="T9" s="91">
        <f>S9+'Monthly Income Statement '!T31+'Monthly Income Statement '!T25+'Monthly Income Statement '!T21-'Loan Schedule'!T10-'Monthly Income Statement '!T3+'AR &amp; AP'!T13</f>
        <v>6778380.0449623745</v>
      </c>
      <c r="U9" s="91">
        <f>T9+'Monthly Income Statement '!U31+'Monthly Income Statement '!U25+'Monthly Income Statement '!U21-'Loan Schedule'!U10-'Monthly Income Statement '!U3+'AR &amp; AP'!U13</f>
        <v>7063248.4560756916</v>
      </c>
      <c r="V9" s="91">
        <f>U9+'Monthly Income Statement '!V31+'Monthly Income Statement '!V25+'Monthly Income Statement '!V21-'Loan Schedule'!V10-'Monthly Income Statement '!V3+'AR &amp; AP'!V13</f>
        <v>7401045.1688002776</v>
      </c>
      <c r="W9" s="91">
        <f>V9+'Monthly Income Statement '!W31+'Monthly Income Statement '!W25+'Monthly Income Statement '!W21-'Loan Schedule'!W10-'Monthly Income Statement '!W3+'AR &amp; AP'!W13</f>
        <v>7797063.0132972589</v>
      </c>
      <c r="X9" s="91">
        <f>W9+'Monthly Income Statement '!X31+'Monthly Income Statement '!X25+'Monthly Income Statement '!X21-'Loan Schedule'!X10-'Monthly Income Statement '!X3+'AR &amp; AP'!X13</f>
        <v>8257124.1027438752</v>
      </c>
      <c r="Y9" s="91">
        <f>X9+'Monthly Income Statement '!Y31+'Monthly Income Statement '!Y25+'Monthly Income Statement '!Y21-'Loan Schedule'!Y10-'Monthly Income Statement '!Y3+'AR &amp; AP'!Y13</f>
        <v>8787632.7616350912</v>
      </c>
      <c r="Z9" s="91">
        <f>Y9+'Monthly Income Statement '!Z31+'Monthly Income Statement '!Z25+'Monthly Income Statement '!Z21-'Loan Schedule'!Z10-'Monthly Income Statement '!Z3+'AR &amp; AP'!Z13</f>
        <v>9147578.0567265917</v>
      </c>
      <c r="AA9" s="91">
        <f>Z9+'Monthly Income Statement '!AA31+'Monthly Income Statement '!AA25+'Monthly Income Statement '!AA21-'Loan Schedule'!AA10-'Monthly Income Statement '!AA3+'AR &amp; AP'!AA13</f>
        <v>9583655.807964379</v>
      </c>
      <c r="AB9" s="91">
        <f>AA9+'Monthly Income Statement '!AB31+'Monthly Income Statement '!AB25+'Monthly Income Statement '!AB21-'Loan Schedule'!AB10-'Monthly Income Statement '!AB3+'AR &amp; AP'!AB13</f>
        <v>10063781.204153607</v>
      </c>
      <c r="AC9" s="91">
        <f>AB9+'Monthly Income Statement '!AC31+'Monthly Income Statement '!AC25+'Monthly Income Statement '!AC21-'Loan Schedule'!AC10-'Monthly Income Statement '!AC3+'AR &amp; AP'!AC13</f>
        <v>10590156.627541849</v>
      </c>
      <c r="AD9" s="91">
        <f>AC9+'Monthly Income Statement '!AD31+'Monthly Income Statement '!AD25+'Monthly Income Statement '!AD21-'Loan Schedule'!AD10-'Monthly Income Statement '!AD3+'AR &amp; AP'!AD13</f>
        <v>11165094.579489056</v>
      </c>
      <c r="AE9" s="91">
        <f>AD9+'Monthly Income Statement '!AE31+'Monthly Income Statement '!AE25+'Monthly Income Statement '!AE21-'Loan Schedule'!AE10-'Monthly Income Statement '!AE3+'AR &amp; AP'!AE13</f>
        <v>11791023.186423175</v>
      </c>
      <c r="AF9" s="91">
        <f>AE9+'Monthly Income Statement '!AF31+'Monthly Income Statement '!AF25+'Monthly Income Statement '!AF21-'Loan Schedule'!AF10-'Monthly Income Statement '!AF3+'AR &amp; AP'!AF13</f>
        <v>12470491.981093552</v>
      </c>
      <c r="AG9" s="91">
        <f>AF9+'Monthly Income Statement '!AG31+'Monthly Income Statement '!AG25+'Monthly Income Statement '!AG21-'Loan Schedule'!AG10-'Monthly Income Statement '!AG3+'AR &amp; AP'!AG13</f>
        <v>13206177.972886998</v>
      </c>
      <c r="AH9" s="91">
        <f>AG9+'Monthly Income Statement '!AH31+'Monthly Income Statement '!AH25+'Monthly Income Statement '!AH21-'Loan Schedule'!AH10-'Monthly Income Statement '!AH3+'AR &amp; AP'!AH13</f>
        <v>14000892.021659669</v>
      </c>
      <c r="AI9" s="91">
        <f>AH9+'Monthly Income Statement '!AI31+'Monthly Income Statement '!AI25+'Monthly Income Statement '!AI21-'Loan Schedule'!AI10-'Monthly Income Statement '!AI3+'AR &amp; AP'!AI13</f>
        <v>14857585.530260524</v>
      </c>
      <c r="AJ9" s="91">
        <f>AI9+'Monthly Income Statement '!AJ31+'Monthly Income Statement '!AJ25+'Monthly Income Statement '!AJ21-'Loan Schedule'!AJ10-'Monthly Income Statement '!AJ3+'AR &amp; AP'!AJ13</f>
        <v>15779357.471680973</v>
      </c>
      <c r="AK9" s="91">
        <f>AJ9+'Monthly Income Statement '!AK31+'Monthly Income Statement '!AK25+'Monthly Income Statement '!AK21-'Loan Schedule'!AK10-'Monthly Income Statement '!AK3+'AR &amp; AP'!AK13</f>
        <v>16769461.767561998</v>
      </c>
      <c r="AL9" s="91">
        <f>AK9+'Monthly Income Statement '!AL31+'Monthly Income Statement '!AL25+'Monthly Income Statement '!AL21-'Loan Schedule'!AL10-'Monthly Income Statement '!AL3+'AR &amp; AP'!AL13</f>
        <v>17488070.916275483</v>
      </c>
      <c r="AM9" s="91">
        <f>AL9+'Monthly Income Statement '!AM31+'Monthly Income Statement '!AM25+'Monthly Income Statement '!AM21-'Loan Schedule'!AM10-'Monthly Income Statement '!AM3+'AR &amp; AP'!AM13</f>
        <v>18316841.299198415</v>
      </c>
      <c r="AN9" s="91">
        <f>AM9+'Monthly Income Statement '!AN31+'Monthly Income Statement '!AN25+'Monthly Income Statement '!AN21-'Loan Schedule'!AN10-'Monthly Income Statement '!AN3+'AR &amp; AP'!AN13</f>
        <v>19224714.923953768</v>
      </c>
      <c r="AO9" s="91">
        <f>AN9+'Monthly Income Statement '!AO31+'Monthly Income Statement '!AO25+'Monthly Income Statement '!AO21-'Loan Schedule'!AO10-'Monthly Income Statement '!AO3+'AR &amp; AP'!AO13</f>
        <v>20215646.952633165</v>
      </c>
      <c r="AP9" s="91">
        <f>AO9+'Monthly Income Statement '!AP31+'Monthly Income Statement '!AP25+'Monthly Income Statement '!AP21-'Loan Schedule'!AP10-'Monthly Income Statement '!AP3+'AR &amp; AP'!AP13</f>
        <v>21293790.305432808</v>
      </c>
      <c r="AQ9" s="91">
        <f>AP9+'Monthly Income Statement '!AQ31+'Monthly Income Statement '!AQ25+'Monthly Income Statement '!AQ21-'Loan Schedule'!AQ10-'Monthly Income Statement '!AQ3+'AR &amp; AP'!AQ13</f>
        <v>22463505.548558708</v>
      </c>
      <c r="AR9" s="91">
        <f>AQ9+'Monthly Income Statement '!AR31+'Monthly Income Statement '!AR25+'Monthly Income Statement '!AR21-'Loan Schedule'!AR10-'Monthly Income Statement '!AR3+'AR &amp; AP'!AR13</f>
        <v>23729371.276527185</v>
      </c>
      <c r="AS9" s="91">
        <f>AR9+'Monthly Income Statement '!AS31+'Monthly Income Statement '!AS25+'Monthly Income Statement '!AS21-'Loan Schedule'!AS10-'Monthly Income Statement '!AS3+'AR &amp; AP'!AS13</f>
        <v>25096195.01358036</v>
      </c>
      <c r="AT9" s="91">
        <f>AS9+'Monthly Income Statement '!AT31+'Monthly Income Statement '!AT25+'Monthly Income Statement '!AT21-'Loan Schedule'!AT10-'Monthly Income Statement '!AT3+'AR &amp; AP'!AT13</f>
        <v>26569024.66017247</v>
      </c>
      <c r="AU9" s="91">
        <f>AT9+'Monthly Income Statement '!AU31+'Monthly Income Statement '!AU25+'Monthly Income Statement '!AU21-'Loan Schedule'!AU10-'Monthly Income Statement '!AU3+'AR &amp; AP'!AU13</f>
        <v>28153160.511780459</v>
      </c>
      <c r="AV9" s="91">
        <f>AU9+'Monthly Income Statement '!AV31+'Monthly Income Statement '!AV25+'Monthly Income Statement '!AV21-'Loan Schedule'!AV10-'Monthly Income Statement '!AV3+'AR &amp; AP'!AV13</f>
        <v>29854167.878655124</v>
      </c>
      <c r="AW9" s="91">
        <f>AV9+'Monthly Income Statement '!AW31+'Monthly Income Statement '!AW25+'Monthly Income Statement '!AW21-'Loan Schedule'!AW10-'Monthly Income Statement '!AW3+'AR &amp; AP'!AW13</f>
        <v>31677890.336559795</v>
      </c>
      <c r="AX9" s="91">
        <f>AW9+'Monthly Income Statement '!AX31+'Monthly Income Statement '!AX25+'Monthly Income Statement '!AX21-'Loan Schedule'!AX10-'Monthly Income Statement '!AX3+'AR &amp; AP'!AX13</f>
        <v>33005637.091413084</v>
      </c>
      <c r="AY9" s="91">
        <f>AX9+'Monthly Income Statement '!AY31+'Monthly Income Statement '!AY25+'Monthly Income Statement '!AY21-'Loan Schedule'!AY10-'Monthly Income Statement '!AY3+'AR &amp; AP'!AY13</f>
        <v>34519435.425701961</v>
      </c>
      <c r="AZ9" s="91">
        <f>AY9+'Monthly Income Statement '!AZ31+'Monthly Income Statement '!AZ25+'Monthly Income Statement '!AZ21-'Loan Schedule'!AZ10-'Monthly Income Statement '!AZ3+'AR &amp; AP'!AZ13</f>
        <v>36175291.817244448</v>
      </c>
      <c r="BA9" s="91">
        <f>AZ9+'Monthly Income Statement '!BA31+'Monthly Income Statement '!BA25+'Monthly Income Statement '!BA21-'Loan Schedule'!BA10-'Monthly Income Statement '!BA3+'AR &amp; AP'!BA13</f>
        <v>37980309.168903224</v>
      </c>
      <c r="BB9" s="91">
        <f>BA9+'Monthly Income Statement '!BB31+'Monthly Income Statement '!BB25+'Monthly Income Statement '!BB21-'Loan Schedule'!BB10-'Monthly Income Statement '!BB3+'AR &amp; AP'!BB13</f>
        <v>39941945.528684117</v>
      </c>
      <c r="BC9" s="91">
        <f>BB9+'Monthly Income Statement '!BC31+'Monthly Income Statement '!BC25+'Monthly Income Statement '!BC21-'Loan Schedule'!BC10-'Monthly Income Statement '!BC3+'AR &amp; AP'!BC13</f>
        <v>42068031.84699323</v>
      </c>
      <c r="BD9" s="91">
        <f>BC9+'Monthly Income Statement '!BD31+'Monthly Income Statement '!BD25+'Monthly Income Statement '!BD21-'Loan Schedule'!BD10-'Monthly Income Statement '!BD3+'AR &amp; AP'!BD13</f>
        <v>44366790.621756971</v>
      </c>
      <c r="BE9" s="91">
        <f>BD9+'Monthly Income Statement '!BE31+'Monthly Income Statement '!BE25+'Monthly Income Statement '!BE21-'Loan Schedule'!BE10-'Monthly Income Statement '!BE3+'AR &amp; AP'!BE13</f>
        <v>46846855.475798063</v>
      </c>
      <c r="BF9" s="91">
        <f>BE9+'Monthly Income Statement '!BF31+'Monthly Income Statement '!BF25+'Monthly Income Statement '!BF21-'Loan Schedule'!BF10-'Monthly Income Statement '!BF3+'AR &amp; AP'!BF13</f>
        <v>49517291.713080376</v>
      </c>
      <c r="BG9" s="91">
        <f>BF9+'Monthly Income Statement '!BG31+'Monthly Income Statement '!BG25+'Monthly Income Statement '!BG21-'Loan Schedule'!BG10-'Monthly Income Statement '!BG3+'AR &amp; AP'!BG13</f>
        <v>52387617.902765982</v>
      </c>
      <c r="BH9" s="91">
        <f>BG9+'Monthly Income Statement '!BH31+'Monthly Income Statement '!BH25+'Monthly Income Statement '!BH21-'Loan Schedule'!BH10-'Monthly Income Statement '!BH3+'AR &amp; AP'!BH13</f>
        <v>55467828.54247503</v>
      </c>
      <c r="BI9" s="91">
        <f>BH9+'Monthly Income Statement '!BI31+'Monthly Income Statement '!BI25+'Monthly Income Statement '!BI21-'Loan Schedule'!BI10-'Monthly Income Statement '!BI3+'AR &amp; AP'!BI13</f>
        <v>58768417.854708709</v>
      </c>
    </row>
    <row r="10" spans="1:61">
      <c r="A10" s="93" t="s">
        <v>103</v>
      </c>
      <c r="B10" s="91">
        <f>'AR &amp; AP'!B15</f>
        <v>52499.999999999985</v>
      </c>
      <c r="C10" s="91">
        <f>'AR &amp; AP'!C15</f>
        <v>106574.99999999999</v>
      </c>
      <c r="D10" s="91">
        <f>'AR &amp; AP'!D15</f>
        <v>109772.24999999999</v>
      </c>
      <c r="E10" s="91">
        <f>'AR &amp; AP'!E15</f>
        <v>113065.41749999998</v>
      </c>
      <c r="F10" s="91">
        <f>'AR &amp; AP'!F15</f>
        <v>116457.38002499998</v>
      </c>
      <c r="G10" s="91">
        <f>'AR &amp; AP'!G15</f>
        <v>119951.10142574998</v>
      </c>
      <c r="H10" s="91">
        <f>'AR &amp; AP'!H15</f>
        <v>123549.6344685225</v>
      </c>
      <c r="I10" s="91">
        <f>'AR &amp; AP'!I15</f>
        <v>127256.12350257818</v>
      </c>
      <c r="J10" s="91">
        <f>'AR &amp; AP'!J15</f>
        <v>131073.80720765551</v>
      </c>
      <c r="K10" s="91">
        <f>'AR &amp; AP'!K15</f>
        <v>135006.02142388516</v>
      </c>
      <c r="L10" s="91">
        <f>'AR &amp; AP'!L15</f>
        <v>139056.20206660175</v>
      </c>
      <c r="M10" s="91">
        <f>'AR &amp; AP'!M15</f>
        <v>143227.88812859979</v>
      </c>
      <c r="N10" s="91">
        <f>'AR &amp; AP'!N15</f>
        <v>177611.78424737009</v>
      </c>
      <c r="O10" s="91">
        <f>'AR &amp; AP'!O15</f>
        <v>220372.9626721071</v>
      </c>
      <c r="P10" s="91">
        <f>'AR &amp; AP'!P15</f>
        <v>242410.25893931781</v>
      </c>
      <c r="Q10" s="91">
        <f>'AR &amp; AP'!Q15</f>
        <v>266651.28483324964</v>
      </c>
      <c r="R10" s="91">
        <f>'AR &amp; AP'!R15</f>
        <v>293316.41331657465</v>
      </c>
      <c r="S10" s="91">
        <f>'AR &amp; AP'!S15</f>
        <v>322648.05464823212</v>
      </c>
      <c r="T10" s="91">
        <f>'AR &amp; AP'!T15</f>
        <v>354912.86011305539</v>
      </c>
      <c r="U10" s="91">
        <f>'AR &amp; AP'!U15</f>
        <v>390404.14612436097</v>
      </c>
      <c r="V10" s="91">
        <f>'AR &amp; AP'!V15</f>
        <v>429444.56073679717</v>
      </c>
      <c r="W10" s="91">
        <f>'AR &amp; AP'!W15</f>
        <v>472389.01681047684</v>
      </c>
      <c r="X10" s="91">
        <f>'AR &amp; AP'!X15</f>
        <v>519627.91849152453</v>
      </c>
      <c r="Y10" s="91">
        <f>'AR &amp; AP'!Y15</f>
        <v>571590.71034067706</v>
      </c>
      <c r="Z10" s="91">
        <f>'AR &amp; AP'!Z15</f>
        <v>613779.54848486977</v>
      </c>
      <c r="AA10" s="91">
        <f>'AR &amp; AP'!AA15</f>
        <v>644468.52590911323</v>
      </c>
      <c r="AB10" s="91">
        <f>'AR &amp; AP'!AB15</f>
        <v>676691.95220456901</v>
      </c>
      <c r="AC10" s="91">
        <f>'AR &amp; AP'!AC15</f>
        <v>710526.54981479747</v>
      </c>
      <c r="AD10" s="91">
        <f>'AR &amp; AP'!AD15</f>
        <v>746052.87730553746</v>
      </c>
      <c r="AE10" s="91">
        <f>'AR &amp; AP'!AE15</f>
        <v>783355.52117081452</v>
      </c>
      <c r="AF10" s="91">
        <f>'AR &amp; AP'!AF15</f>
        <v>822523.29722935532</v>
      </c>
      <c r="AG10" s="91">
        <f>'AR &amp; AP'!AG15</f>
        <v>863649.46209082298</v>
      </c>
      <c r="AH10" s="91">
        <f>'AR &amp; AP'!AH15</f>
        <v>906831.93519536406</v>
      </c>
      <c r="AI10" s="91">
        <f>'AR &amp; AP'!AI15</f>
        <v>952173.53195513226</v>
      </c>
      <c r="AJ10" s="91">
        <f>'AR &amp; AP'!AJ15</f>
        <v>999782.20855288906</v>
      </c>
      <c r="AK10" s="91">
        <f>'AR &amp; AP'!AK15</f>
        <v>1049771.3189805336</v>
      </c>
      <c r="AL10" s="91">
        <f>'AR &amp; AP'!AL15</f>
        <v>1102259.8849295601</v>
      </c>
      <c r="AM10" s="91">
        <f>'AR &amp; AP'!AM15</f>
        <v>1157372.8791760383</v>
      </c>
      <c r="AN10" s="91">
        <f>'AR &amp; AP'!AN15</f>
        <v>1215241.5231348402</v>
      </c>
      <c r="AO10" s="91">
        <f>'AR &amp; AP'!AO15</f>
        <v>1276003.5992915821</v>
      </c>
      <c r="AP10" s="91">
        <f>'AR &amp; AP'!AP15</f>
        <v>1339803.7792561613</v>
      </c>
      <c r="AQ10" s="91">
        <f>'AR &amp; AP'!AQ15</f>
        <v>1406793.9682189696</v>
      </c>
      <c r="AR10" s="91">
        <f>'AR &amp; AP'!AR15</f>
        <v>1477133.6666299184</v>
      </c>
      <c r="AS10" s="91">
        <f>'AR &amp; AP'!AS15</f>
        <v>1550990.3499614145</v>
      </c>
      <c r="AT10" s="91">
        <f>'AR &amp; AP'!AT15</f>
        <v>1628539.8674594853</v>
      </c>
      <c r="AU10" s="91">
        <f>'AR &amp; AP'!AU15</f>
        <v>1709966.8608324595</v>
      </c>
      <c r="AV10" s="91">
        <f>'AR &amp; AP'!AV15</f>
        <v>1795465.2038740825</v>
      </c>
      <c r="AW10" s="91">
        <f>'AR &amp; AP'!AW15</f>
        <v>1885238.4640677865</v>
      </c>
      <c r="AX10" s="91">
        <f>'AR &amp; AP'!AX15</f>
        <v>1979500.3872711761</v>
      </c>
      <c r="AY10" s="91">
        <f>'AR &amp; AP'!AY15</f>
        <v>2078475.4066347349</v>
      </c>
      <c r="AZ10" s="91">
        <f>'AR &amp; AP'!AZ15</f>
        <v>2182399.1769664721</v>
      </c>
      <c r="BA10" s="91">
        <f>'AR &amp; AP'!BA15</f>
        <v>2291519.1358147962</v>
      </c>
      <c r="BB10" s="91">
        <f>'AR &amp; AP'!BB15</f>
        <v>2406095.0926055359</v>
      </c>
      <c r="BC10" s="91">
        <f>'AR &amp; AP'!BC15</f>
        <v>2526399.8472358128</v>
      </c>
      <c r="BD10" s="91">
        <f>'AR &amp; AP'!BD15</f>
        <v>2652719.8395976033</v>
      </c>
      <c r="BE10" s="91">
        <f>'AR &amp; AP'!BE15</f>
        <v>2785355.8315774836</v>
      </c>
      <c r="BF10" s="91">
        <f>'AR &amp; AP'!BF15</f>
        <v>2924623.6231563576</v>
      </c>
      <c r="BG10" s="91">
        <f>'AR &amp; AP'!BG15</f>
        <v>3070854.8043141756</v>
      </c>
      <c r="BH10" s="91">
        <f>'AR &amp; AP'!BH15</f>
        <v>3224397.5445298851</v>
      </c>
      <c r="BI10" s="91">
        <f>'AR &amp; AP'!BI15</f>
        <v>3385617.4217563798</v>
      </c>
    </row>
    <row r="11" spans="1:61" hidden="1">
      <c r="A11" s="93" t="s">
        <v>205</v>
      </c>
      <c r="B11" s="91" t="e">
        <f>#REF!</f>
        <v>#REF!</v>
      </c>
      <c r="C11" s="91" t="e">
        <f>#REF!</f>
        <v>#REF!</v>
      </c>
      <c r="D11" s="91" t="e">
        <f>#REF!</f>
        <v>#REF!</v>
      </c>
      <c r="E11" s="91" t="e">
        <f>#REF!</f>
        <v>#REF!</v>
      </c>
      <c r="F11" s="91" t="e">
        <f>#REF!</f>
        <v>#REF!</v>
      </c>
      <c r="G11" s="91" t="e">
        <f>#REF!</f>
        <v>#REF!</v>
      </c>
      <c r="H11" s="91" t="e">
        <f>#REF!</f>
        <v>#REF!</v>
      </c>
      <c r="I11" s="91" t="e">
        <f>#REF!</f>
        <v>#REF!</v>
      </c>
      <c r="J11" s="91" t="e">
        <f>#REF!</f>
        <v>#REF!</v>
      </c>
      <c r="K11" s="91" t="e">
        <f>#REF!</f>
        <v>#REF!</v>
      </c>
      <c r="L11" s="91" t="e">
        <f>#REF!</f>
        <v>#REF!</v>
      </c>
      <c r="M11" s="91" t="e">
        <f>#REF!</f>
        <v>#REF!</v>
      </c>
      <c r="N11" s="91" t="e">
        <f>#REF!</f>
        <v>#REF!</v>
      </c>
      <c r="O11" s="91" t="e">
        <f>#REF!</f>
        <v>#REF!</v>
      </c>
      <c r="P11" s="91" t="e">
        <f>#REF!</f>
        <v>#REF!</v>
      </c>
      <c r="Q11" s="91" t="e">
        <f>#REF!</f>
        <v>#REF!</v>
      </c>
      <c r="R11" s="91" t="e">
        <f>#REF!</f>
        <v>#REF!</v>
      </c>
      <c r="S11" s="91" t="e">
        <f>#REF!</f>
        <v>#REF!</v>
      </c>
      <c r="T11" s="91" t="e">
        <f>#REF!</f>
        <v>#REF!</v>
      </c>
      <c r="U11" s="91" t="e">
        <f>#REF!</f>
        <v>#REF!</v>
      </c>
      <c r="V11" s="91" t="e">
        <f>#REF!</f>
        <v>#REF!</v>
      </c>
      <c r="W11" s="91" t="e">
        <f>#REF!</f>
        <v>#REF!</v>
      </c>
      <c r="X11" s="91" t="e">
        <f>#REF!</f>
        <v>#REF!</v>
      </c>
      <c r="Y11" s="91" t="e">
        <f>#REF!</f>
        <v>#REF!</v>
      </c>
      <c r="Z11" s="91" t="e">
        <f>#REF!</f>
        <v>#REF!</v>
      </c>
      <c r="AA11" s="91" t="e">
        <f>#REF!</f>
        <v>#REF!</v>
      </c>
      <c r="AB11" s="91" t="e">
        <f>#REF!</f>
        <v>#REF!</v>
      </c>
      <c r="AC11" s="91" t="e">
        <f>#REF!</f>
        <v>#REF!</v>
      </c>
      <c r="AD11" s="91" t="e">
        <f>#REF!</f>
        <v>#REF!</v>
      </c>
      <c r="AE11" s="91" t="e">
        <f>#REF!</f>
        <v>#REF!</v>
      </c>
      <c r="AF11" s="91" t="e">
        <f>#REF!</f>
        <v>#REF!</v>
      </c>
      <c r="AG11" s="91" t="e">
        <f>#REF!</f>
        <v>#REF!</v>
      </c>
      <c r="AH11" s="91" t="e">
        <f>#REF!</f>
        <v>#REF!</v>
      </c>
      <c r="AI11" s="91" t="e">
        <f>#REF!</f>
        <v>#REF!</v>
      </c>
      <c r="AJ11" s="91" t="e">
        <f>#REF!</f>
        <v>#REF!</v>
      </c>
      <c r="AK11" s="91" t="e">
        <f>#REF!</f>
        <v>#REF!</v>
      </c>
      <c r="AL11" s="91" t="e">
        <f>#REF!</f>
        <v>#REF!</v>
      </c>
      <c r="AM11" s="91" t="e">
        <f>#REF!</f>
        <v>#REF!</v>
      </c>
      <c r="AN11" s="91" t="e">
        <f>#REF!</f>
        <v>#REF!</v>
      </c>
      <c r="AO11" s="91" t="e">
        <f>#REF!</f>
        <v>#REF!</v>
      </c>
      <c r="AP11" s="91" t="e">
        <f>#REF!</f>
        <v>#REF!</v>
      </c>
      <c r="AQ11" s="91" t="e">
        <f>#REF!</f>
        <v>#REF!</v>
      </c>
      <c r="AR11" s="91" t="e">
        <f>#REF!</f>
        <v>#REF!</v>
      </c>
      <c r="AS11" s="91" t="e">
        <f>#REF!</f>
        <v>#REF!</v>
      </c>
      <c r="AT11" s="91" t="e">
        <f>#REF!</f>
        <v>#REF!</v>
      </c>
      <c r="AU11" s="91" t="e">
        <f>#REF!</f>
        <v>#REF!</v>
      </c>
      <c r="AV11" s="91" t="e">
        <f>#REF!</f>
        <v>#REF!</v>
      </c>
      <c r="AW11" s="91" t="e">
        <f>#REF!</f>
        <v>#REF!</v>
      </c>
      <c r="AX11" s="91" t="e">
        <f>#REF!</f>
        <v>#REF!</v>
      </c>
      <c r="AY11" s="91" t="e">
        <f>#REF!</f>
        <v>#REF!</v>
      </c>
      <c r="AZ11" s="91" t="e">
        <f>#REF!</f>
        <v>#REF!</v>
      </c>
      <c r="BA11" s="91" t="e">
        <f>#REF!</f>
        <v>#REF!</v>
      </c>
      <c r="BB11" s="91" t="e">
        <f>#REF!</f>
        <v>#REF!</v>
      </c>
      <c r="BC11" s="91" t="e">
        <f>#REF!</f>
        <v>#REF!</v>
      </c>
      <c r="BD11" s="91" t="e">
        <f>#REF!</f>
        <v>#REF!</v>
      </c>
      <c r="BE11" s="91" t="e">
        <f>#REF!</f>
        <v>#REF!</v>
      </c>
      <c r="BF11" s="91" t="e">
        <f>#REF!</f>
        <v>#REF!</v>
      </c>
      <c r="BG11" s="91" t="e">
        <f>#REF!</f>
        <v>#REF!</v>
      </c>
      <c r="BH11" s="91" t="e">
        <f>#REF!</f>
        <v>#REF!</v>
      </c>
      <c r="BI11" s="91" t="e">
        <f>#REF!</f>
        <v>#REF!</v>
      </c>
    </row>
    <row r="12" spans="1:61">
      <c r="A12" s="93"/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</row>
    <row r="13" spans="1:61">
      <c r="A13" s="94" t="s">
        <v>182</v>
      </c>
      <c r="B13" s="95">
        <f t="shared" ref="B13:AG13" si="0">SUBTOTAL(109,B4:B11)</f>
        <v>10006220.796021007</v>
      </c>
      <c r="C13" s="95">
        <f t="shared" si="0"/>
        <v>10017166.592042014</v>
      </c>
      <c r="D13" s="95">
        <f t="shared" si="0"/>
        <v>10032979.138063021</v>
      </c>
      <c r="E13" s="95">
        <f t="shared" si="0"/>
        <v>10053804.436584029</v>
      </c>
      <c r="F13" s="95">
        <f t="shared" si="0"/>
        <v>10079792.870180035</v>
      </c>
      <c r="G13" s="95">
        <f t="shared" si="0"/>
        <v>10111099.332903294</v>
      </c>
      <c r="H13" s="95">
        <f t="shared" si="0"/>
        <v>10147883.365627617</v>
      </c>
      <c r="I13" s="95">
        <f t="shared" si="0"/>
        <v>10190309.295453042</v>
      </c>
      <c r="J13" s="95">
        <f t="shared" si="0"/>
        <v>10238546.379292598</v>
      </c>
      <c r="K13" s="95">
        <f t="shared" si="0"/>
        <v>10292768.951766713</v>
      </c>
      <c r="L13" s="95">
        <f t="shared" si="0"/>
        <v>10353156.57753442</v>
      </c>
      <c r="M13" s="95">
        <f t="shared" si="0"/>
        <v>10419894.208194526</v>
      </c>
      <c r="N13" s="95">
        <f t="shared" si="0"/>
        <v>10445416.212964831</v>
      </c>
      <c r="O13" s="95">
        <f t="shared" si="0"/>
        <v>10508676.977878768</v>
      </c>
      <c r="P13" s="95">
        <f t="shared" si="0"/>
        <v>10603817.779784037</v>
      </c>
      <c r="Q13" s="95">
        <f t="shared" si="0"/>
        <v>10734026.622379769</v>
      </c>
      <c r="R13" s="95">
        <f t="shared" si="0"/>
        <v>10902810.309735011</v>
      </c>
      <c r="S13" s="95">
        <f t="shared" si="0"/>
        <v>11114026.326325716</v>
      </c>
      <c r="T13" s="95">
        <f t="shared" si="0"/>
        <v>11371917.905075429</v>
      </c>
      <c r="U13" s="95">
        <f t="shared" si="0"/>
        <v>11681152.602200052</v>
      </c>
      <c r="V13" s="95">
        <f t="shared" si="0"/>
        <v>12046864.729537075</v>
      </c>
      <c r="W13" s="95">
        <f t="shared" si="0"/>
        <v>12474702.030107737</v>
      </c>
      <c r="X13" s="95">
        <f t="shared" si="0"/>
        <v>12970877.021235399</v>
      </c>
      <c r="Y13" s="95">
        <f t="shared" si="0"/>
        <v>13542223.471975768</v>
      </c>
      <c r="Z13" s="95">
        <f t="shared" si="0"/>
        <v>13933232.605211461</v>
      </c>
      <c r="AA13" s="95">
        <f t="shared" si="0"/>
        <v>14388874.333873492</v>
      </c>
      <c r="AB13" s="95">
        <f t="shared" si="0"/>
        <v>14890098.156358175</v>
      </c>
      <c r="AC13" s="95">
        <f t="shared" si="0"/>
        <v>15439183.177356647</v>
      </c>
      <c r="AD13" s="95">
        <f t="shared" si="0"/>
        <v>16038522.456794593</v>
      </c>
      <c r="AE13" s="95">
        <f t="shared" si="0"/>
        <v>16690628.707593989</v>
      </c>
      <c r="AF13" s="95">
        <f t="shared" si="0"/>
        <v>17398140.278322909</v>
      </c>
      <c r="AG13" s="95">
        <f t="shared" si="0"/>
        <v>18163827.434977822</v>
      </c>
      <c r="AH13" s="95">
        <f t="shared" ref="AH13:BI13" si="1">SUBTOTAL(109,AH4:AH11)</f>
        <v>18990598.956855033</v>
      </c>
      <c r="AI13" s="95">
        <f t="shared" si="1"/>
        <v>19881509.062215656</v>
      </c>
      <c r="AJ13" s="95">
        <f t="shared" si="1"/>
        <v>20839764.680233862</v>
      </c>
      <c r="AK13" s="95">
        <f t="shared" si="1"/>
        <v>21868733.086542532</v>
      </c>
      <c r="AL13" s="95">
        <f t="shared" si="1"/>
        <v>22628705.801205043</v>
      </c>
      <c r="AM13" s="95">
        <f t="shared" si="1"/>
        <v>23501464.178374454</v>
      </c>
      <c r="AN13" s="95">
        <f t="shared" si="1"/>
        <v>24456081.447088607</v>
      </c>
      <c r="AO13" s="95">
        <f t="shared" si="1"/>
        <v>25496650.551924746</v>
      </c>
      <c r="AP13" s="95">
        <f t="shared" si="1"/>
        <v>26627469.084688969</v>
      </c>
      <c r="AQ13" s="95">
        <f t="shared" si="1"/>
        <v>27853049.516777679</v>
      </c>
      <c r="AR13" s="95">
        <f t="shared" si="1"/>
        <v>29178129.943157103</v>
      </c>
      <c r="AS13" s="95">
        <f t="shared" si="1"/>
        <v>30607685.363541774</v>
      </c>
      <c r="AT13" s="95">
        <f t="shared" si="1"/>
        <v>32146939.527631953</v>
      </c>
      <c r="AU13" s="95">
        <f t="shared" si="1"/>
        <v>33801377.372612916</v>
      </c>
      <c r="AV13" s="95">
        <f t="shared" si="1"/>
        <v>35576758.082529202</v>
      </c>
      <c r="AW13" s="95">
        <f t="shared" si="1"/>
        <v>37479128.800627582</v>
      </c>
      <c r="AX13" s="95">
        <f t="shared" si="1"/>
        <v>38890012.478684254</v>
      </c>
      <c r="AY13" s="95">
        <f t="shared" si="1"/>
        <v>40491660.832336694</v>
      </c>
      <c r="AZ13" s="95">
        <f t="shared" si="1"/>
        <v>42240315.994210921</v>
      </c>
      <c r="BA13" s="95">
        <f t="shared" si="1"/>
        <v>44143328.304718018</v>
      </c>
      <c r="BB13" s="95">
        <f t="shared" si="1"/>
        <v>46208415.621289656</v>
      </c>
      <c r="BC13" s="95">
        <f t="shared" si="1"/>
        <v>48443681.694229044</v>
      </c>
      <c r="BD13" s="95">
        <f t="shared" si="1"/>
        <v>50857635.461354576</v>
      </c>
      <c r="BE13" s="95">
        <f t="shared" si="1"/>
        <v>53459211.30737555</v>
      </c>
      <c r="BF13" s="95">
        <f t="shared" si="1"/>
        <v>56257790.33623673</v>
      </c>
      <c r="BG13" s="95">
        <f t="shared" si="1"/>
        <v>59263222.707080156</v>
      </c>
      <c r="BH13" s="95">
        <f t="shared" si="1"/>
        <v>62485851.087004915</v>
      </c>
      <c r="BI13" s="95">
        <f t="shared" si="1"/>
        <v>65936535.276465088</v>
      </c>
    </row>
    <row r="14" spans="1:61">
      <c r="A14" s="94" t="s">
        <v>206</v>
      </c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  <c r="AB14" s="96"/>
      <c r="AC14" s="96"/>
      <c r="AD14" s="96"/>
      <c r="AE14" s="96"/>
      <c r="AF14" s="96"/>
      <c r="AG14" s="96"/>
      <c r="AH14" s="96"/>
      <c r="AI14" s="96"/>
      <c r="AJ14" s="96"/>
      <c r="AK14" s="96"/>
      <c r="AL14" s="96"/>
      <c r="AM14" s="96"/>
      <c r="AN14" s="96"/>
      <c r="AO14" s="96"/>
      <c r="AP14" s="96"/>
      <c r="AQ14" s="96"/>
      <c r="AR14" s="96"/>
      <c r="AS14" s="96"/>
      <c r="AT14" s="96"/>
      <c r="AU14" s="96"/>
      <c r="AV14" s="96"/>
      <c r="AW14" s="96"/>
      <c r="AX14" s="96"/>
      <c r="AY14" s="96"/>
      <c r="AZ14" s="96"/>
      <c r="BA14" s="96"/>
      <c r="BB14" s="96"/>
      <c r="BC14" s="96"/>
      <c r="BD14" s="96"/>
      <c r="BE14" s="96"/>
      <c r="BF14" s="96"/>
      <c r="BG14" s="96"/>
      <c r="BH14" s="96"/>
      <c r="BI14" s="96"/>
    </row>
    <row r="15" spans="1:61">
      <c r="A15" s="94" t="s">
        <v>207</v>
      </c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96"/>
      <c r="AE15" s="96"/>
      <c r="AF15" s="96"/>
      <c r="AG15" s="96"/>
      <c r="AH15" s="96"/>
      <c r="AI15" s="96"/>
      <c r="AJ15" s="96"/>
      <c r="AK15" s="96"/>
      <c r="AL15" s="96"/>
      <c r="AM15" s="96"/>
      <c r="AN15" s="96"/>
      <c r="AO15" s="96"/>
      <c r="AP15" s="96"/>
      <c r="AQ15" s="96"/>
      <c r="AR15" s="96"/>
      <c r="AS15" s="96"/>
      <c r="AT15" s="96"/>
      <c r="AU15" s="96"/>
      <c r="AV15" s="96"/>
      <c r="AW15" s="96"/>
      <c r="AX15" s="96"/>
      <c r="AY15" s="96"/>
      <c r="AZ15" s="96"/>
      <c r="BA15" s="96"/>
      <c r="BB15" s="96"/>
      <c r="BC15" s="96"/>
      <c r="BD15" s="96"/>
      <c r="BE15" s="96"/>
      <c r="BF15" s="96"/>
      <c r="BG15" s="96"/>
      <c r="BH15" s="96"/>
      <c r="BI15" s="96"/>
    </row>
    <row r="16" spans="1:61" hidden="1">
      <c r="A16" s="93" t="s">
        <v>104</v>
      </c>
      <c r="B16" s="91">
        <v>0</v>
      </c>
      <c r="C16" s="91">
        <v>0</v>
      </c>
      <c r="D16" s="91">
        <v>0</v>
      </c>
      <c r="E16" s="91">
        <v>0</v>
      </c>
      <c r="F16" s="91">
        <v>0</v>
      </c>
      <c r="G16" s="91">
        <v>0</v>
      </c>
      <c r="H16" s="91">
        <v>0</v>
      </c>
      <c r="I16" s="91">
        <v>0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  <c r="R16" s="91">
        <v>0</v>
      </c>
      <c r="S16" s="91">
        <v>0</v>
      </c>
      <c r="T16" s="91">
        <v>0</v>
      </c>
      <c r="U16" s="91">
        <v>0</v>
      </c>
      <c r="V16" s="91">
        <v>0</v>
      </c>
      <c r="W16" s="91">
        <v>0</v>
      </c>
      <c r="X16" s="91">
        <v>0</v>
      </c>
      <c r="Y16" s="91">
        <v>0</v>
      </c>
      <c r="Z16" s="91">
        <v>0</v>
      </c>
      <c r="AA16" s="91">
        <v>0</v>
      </c>
      <c r="AB16" s="91">
        <v>0</v>
      </c>
      <c r="AC16" s="91">
        <v>0</v>
      </c>
      <c r="AD16" s="91">
        <v>0</v>
      </c>
      <c r="AE16" s="91">
        <v>0</v>
      </c>
      <c r="AF16" s="91">
        <v>0</v>
      </c>
      <c r="AG16" s="91">
        <v>0</v>
      </c>
      <c r="AH16" s="91">
        <v>0</v>
      </c>
      <c r="AI16" s="91">
        <v>0</v>
      </c>
      <c r="AJ16" s="91">
        <v>0</v>
      </c>
      <c r="AK16" s="91">
        <v>0</v>
      </c>
      <c r="AL16" s="91">
        <v>0</v>
      </c>
      <c r="AM16" s="91">
        <v>0</v>
      </c>
      <c r="AN16" s="91">
        <v>0</v>
      </c>
      <c r="AO16" s="91">
        <v>0</v>
      </c>
      <c r="AP16" s="91">
        <v>0</v>
      </c>
      <c r="AQ16" s="91">
        <v>0</v>
      </c>
      <c r="AR16" s="91">
        <v>0</v>
      </c>
      <c r="AS16" s="91">
        <v>0</v>
      </c>
      <c r="AT16" s="91">
        <v>0</v>
      </c>
      <c r="AU16" s="91">
        <v>0</v>
      </c>
      <c r="AV16" s="91">
        <v>0</v>
      </c>
      <c r="AW16" s="91">
        <v>0</v>
      </c>
      <c r="AX16" s="91">
        <v>0</v>
      </c>
      <c r="AY16" s="91">
        <v>0</v>
      </c>
      <c r="AZ16" s="91">
        <v>0</v>
      </c>
      <c r="BA16" s="91">
        <v>0</v>
      </c>
      <c r="BB16" s="91">
        <v>0</v>
      </c>
      <c r="BC16" s="91">
        <v>0</v>
      </c>
      <c r="BD16" s="91">
        <v>0</v>
      </c>
      <c r="BE16" s="91">
        <v>0</v>
      </c>
      <c r="BF16" s="91">
        <v>0</v>
      </c>
      <c r="BG16" s="91">
        <v>0</v>
      </c>
      <c r="BH16" s="91">
        <v>0</v>
      </c>
      <c r="BI16" s="91">
        <v>0</v>
      </c>
    </row>
    <row r="17" spans="1:61">
      <c r="A17" s="229" t="s">
        <v>164</v>
      </c>
      <c r="B17" s="96">
        <f>'Loan Schedule'!B13</f>
        <v>0</v>
      </c>
      <c r="C17" s="96">
        <f>'Loan Schedule'!C13</f>
        <v>0</v>
      </c>
      <c r="D17" s="96">
        <f>'Loan Schedule'!D13</f>
        <v>0</v>
      </c>
      <c r="E17" s="96">
        <f>'Loan Schedule'!E13</f>
        <v>0</v>
      </c>
      <c r="F17" s="96">
        <f>'Loan Schedule'!F13</f>
        <v>0</v>
      </c>
      <c r="G17" s="96">
        <f>'Loan Schedule'!G13</f>
        <v>0</v>
      </c>
      <c r="H17" s="96">
        <f>'Loan Schedule'!H13</f>
        <v>0</v>
      </c>
      <c r="I17" s="96">
        <f>'Loan Schedule'!I13</f>
        <v>0</v>
      </c>
      <c r="J17" s="96">
        <f>'Loan Schedule'!J13</f>
        <v>0</v>
      </c>
      <c r="K17" s="96">
        <f>'Loan Schedule'!K13</f>
        <v>0</v>
      </c>
      <c r="L17" s="96">
        <f>'Loan Schedule'!L13</f>
        <v>0</v>
      </c>
      <c r="M17" s="96">
        <f>'Loan Schedule'!M13</f>
        <v>0</v>
      </c>
      <c r="N17" s="96">
        <f>'Loan Schedule'!N13</f>
        <v>0</v>
      </c>
      <c r="O17" s="96">
        <f>'Loan Schedule'!O13</f>
        <v>0</v>
      </c>
      <c r="P17" s="96">
        <f>'Loan Schedule'!P13</f>
        <v>0</v>
      </c>
      <c r="Q17" s="96">
        <f>'Loan Schedule'!Q13</f>
        <v>0</v>
      </c>
      <c r="R17" s="96">
        <f>'Loan Schedule'!R13</f>
        <v>0</v>
      </c>
      <c r="S17" s="96">
        <f>'Loan Schedule'!S13</f>
        <v>0</v>
      </c>
      <c r="T17" s="96">
        <f>'Loan Schedule'!T13</f>
        <v>0</v>
      </c>
      <c r="U17" s="96">
        <f>'Loan Schedule'!U13</f>
        <v>0</v>
      </c>
      <c r="V17" s="96">
        <f>'Loan Schedule'!V13</f>
        <v>0</v>
      </c>
      <c r="W17" s="96">
        <f>'Loan Schedule'!W13</f>
        <v>0</v>
      </c>
      <c r="X17" s="96">
        <f>'Loan Schedule'!X13</f>
        <v>0</v>
      </c>
      <c r="Y17" s="96">
        <f>'Loan Schedule'!Y13</f>
        <v>0</v>
      </c>
      <c r="Z17" s="96">
        <f>'Loan Schedule'!Z13</f>
        <v>0</v>
      </c>
      <c r="AA17" s="96">
        <f>'Loan Schedule'!AA13</f>
        <v>0</v>
      </c>
      <c r="AB17" s="96">
        <f>'Loan Schedule'!AB13</f>
        <v>0</v>
      </c>
      <c r="AC17" s="96">
        <f>'Loan Schedule'!AC13</f>
        <v>0</v>
      </c>
      <c r="AD17" s="96">
        <f>'Loan Schedule'!AD13</f>
        <v>0</v>
      </c>
      <c r="AE17" s="96">
        <f>'Loan Schedule'!AE13</f>
        <v>0</v>
      </c>
      <c r="AF17" s="96">
        <f>'Loan Schedule'!AF13</f>
        <v>0</v>
      </c>
      <c r="AG17" s="96">
        <f>'Loan Schedule'!AG13</f>
        <v>0</v>
      </c>
      <c r="AH17" s="96">
        <f>'Loan Schedule'!AH13</f>
        <v>0</v>
      </c>
      <c r="AI17" s="96">
        <f>'Loan Schedule'!AI13</f>
        <v>0</v>
      </c>
      <c r="AJ17" s="96">
        <f>'Loan Schedule'!AJ13</f>
        <v>0</v>
      </c>
      <c r="AK17" s="96">
        <f>'Loan Schedule'!AK13</f>
        <v>0</v>
      </c>
      <c r="AL17" s="96">
        <f>'Loan Schedule'!AL13</f>
        <v>0</v>
      </c>
      <c r="AM17" s="96">
        <f>'Loan Schedule'!AM13</f>
        <v>0</v>
      </c>
      <c r="AN17" s="96">
        <f>'Loan Schedule'!AN13</f>
        <v>0</v>
      </c>
      <c r="AO17" s="96">
        <f>'Loan Schedule'!AO13</f>
        <v>0</v>
      </c>
      <c r="AP17" s="96">
        <f>'Loan Schedule'!AP13</f>
        <v>0</v>
      </c>
      <c r="AQ17" s="96">
        <f>'Loan Schedule'!AQ13</f>
        <v>0</v>
      </c>
      <c r="AR17" s="96">
        <f>'Loan Schedule'!AR13</f>
        <v>0</v>
      </c>
      <c r="AS17" s="96">
        <f>'Loan Schedule'!AS13</f>
        <v>0</v>
      </c>
      <c r="AT17" s="96">
        <f>'Loan Schedule'!AT13</f>
        <v>0</v>
      </c>
      <c r="AU17" s="96">
        <f>'Loan Schedule'!AU13</f>
        <v>0</v>
      </c>
      <c r="AV17" s="96">
        <f>'Loan Schedule'!AV13</f>
        <v>0</v>
      </c>
      <c r="AW17" s="96">
        <f>'Loan Schedule'!AW13</f>
        <v>0</v>
      </c>
      <c r="AX17" s="96">
        <f>'Loan Schedule'!AX13</f>
        <v>0</v>
      </c>
      <c r="AY17" s="96">
        <f>'Loan Schedule'!AY13</f>
        <v>0</v>
      </c>
      <c r="AZ17" s="96">
        <f>'Loan Schedule'!AZ13</f>
        <v>0</v>
      </c>
      <c r="BA17" s="96">
        <f>'Loan Schedule'!BA13</f>
        <v>0</v>
      </c>
      <c r="BB17" s="96">
        <f>'Loan Schedule'!BB13</f>
        <v>0</v>
      </c>
      <c r="BC17" s="96">
        <f>'Loan Schedule'!BC13</f>
        <v>0</v>
      </c>
      <c r="BD17" s="96">
        <f>'Loan Schedule'!BD13</f>
        <v>0</v>
      </c>
      <c r="BE17" s="96">
        <f>'Loan Schedule'!BE13</f>
        <v>0</v>
      </c>
      <c r="BF17" s="96">
        <f>'Loan Schedule'!BF13</f>
        <v>0</v>
      </c>
      <c r="BG17" s="96">
        <f>'Loan Schedule'!BG13</f>
        <v>0</v>
      </c>
      <c r="BH17" s="96">
        <f>'Loan Schedule'!BH13</f>
        <v>0</v>
      </c>
      <c r="BI17" s="96">
        <f>'Loan Schedule'!BI13</f>
        <v>0</v>
      </c>
    </row>
    <row r="18" spans="1:61">
      <c r="A18" s="94" t="s">
        <v>208</v>
      </c>
      <c r="B18" s="97">
        <f>SUM(B16:B17)</f>
        <v>0</v>
      </c>
      <c r="C18" s="97">
        <f t="shared" ref="C18:BI18" si="2">SUM(C16:C17)</f>
        <v>0</v>
      </c>
      <c r="D18" s="97">
        <f t="shared" si="2"/>
        <v>0</v>
      </c>
      <c r="E18" s="97">
        <f t="shared" si="2"/>
        <v>0</v>
      </c>
      <c r="F18" s="97">
        <f t="shared" si="2"/>
        <v>0</v>
      </c>
      <c r="G18" s="97">
        <f t="shared" si="2"/>
        <v>0</v>
      </c>
      <c r="H18" s="97">
        <f t="shared" si="2"/>
        <v>0</v>
      </c>
      <c r="I18" s="97">
        <f t="shared" si="2"/>
        <v>0</v>
      </c>
      <c r="J18" s="97">
        <f t="shared" si="2"/>
        <v>0</v>
      </c>
      <c r="K18" s="97">
        <f t="shared" si="2"/>
        <v>0</v>
      </c>
      <c r="L18" s="97">
        <f t="shared" si="2"/>
        <v>0</v>
      </c>
      <c r="M18" s="97">
        <f t="shared" si="2"/>
        <v>0</v>
      </c>
      <c r="N18" s="97">
        <f t="shared" si="2"/>
        <v>0</v>
      </c>
      <c r="O18" s="97">
        <f t="shared" si="2"/>
        <v>0</v>
      </c>
      <c r="P18" s="97">
        <f t="shared" si="2"/>
        <v>0</v>
      </c>
      <c r="Q18" s="97">
        <f t="shared" si="2"/>
        <v>0</v>
      </c>
      <c r="R18" s="97">
        <f t="shared" si="2"/>
        <v>0</v>
      </c>
      <c r="S18" s="97">
        <f t="shared" si="2"/>
        <v>0</v>
      </c>
      <c r="T18" s="97">
        <f t="shared" si="2"/>
        <v>0</v>
      </c>
      <c r="U18" s="97">
        <f t="shared" si="2"/>
        <v>0</v>
      </c>
      <c r="V18" s="97">
        <f t="shared" si="2"/>
        <v>0</v>
      </c>
      <c r="W18" s="97">
        <f t="shared" si="2"/>
        <v>0</v>
      </c>
      <c r="X18" s="97">
        <f t="shared" si="2"/>
        <v>0</v>
      </c>
      <c r="Y18" s="97">
        <f t="shared" si="2"/>
        <v>0</v>
      </c>
      <c r="Z18" s="97">
        <f t="shared" si="2"/>
        <v>0</v>
      </c>
      <c r="AA18" s="97">
        <f t="shared" si="2"/>
        <v>0</v>
      </c>
      <c r="AB18" s="97">
        <f t="shared" si="2"/>
        <v>0</v>
      </c>
      <c r="AC18" s="97">
        <f t="shared" si="2"/>
        <v>0</v>
      </c>
      <c r="AD18" s="97">
        <f t="shared" si="2"/>
        <v>0</v>
      </c>
      <c r="AE18" s="97">
        <f t="shared" si="2"/>
        <v>0</v>
      </c>
      <c r="AF18" s="97">
        <f t="shared" si="2"/>
        <v>0</v>
      </c>
      <c r="AG18" s="97">
        <f t="shared" si="2"/>
        <v>0</v>
      </c>
      <c r="AH18" s="97">
        <f t="shared" si="2"/>
        <v>0</v>
      </c>
      <c r="AI18" s="97">
        <f t="shared" si="2"/>
        <v>0</v>
      </c>
      <c r="AJ18" s="97">
        <f t="shared" si="2"/>
        <v>0</v>
      </c>
      <c r="AK18" s="97">
        <f t="shared" si="2"/>
        <v>0</v>
      </c>
      <c r="AL18" s="97">
        <f t="shared" si="2"/>
        <v>0</v>
      </c>
      <c r="AM18" s="97">
        <f t="shared" si="2"/>
        <v>0</v>
      </c>
      <c r="AN18" s="97">
        <f t="shared" si="2"/>
        <v>0</v>
      </c>
      <c r="AO18" s="97">
        <f t="shared" si="2"/>
        <v>0</v>
      </c>
      <c r="AP18" s="97">
        <f t="shared" si="2"/>
        <v>0</v>
      </c>
      <c r="AQ18" s="97">
        <f t="shared" si="2"/>
        <v>0</v>
      </c>
      <c r="AR18" s="97">
        <f t="shared" si="2"/>
        <v>0</v>
      </c>
      <c r="AS18" s="97">
        <f t="shared" si="2"/>
        <v>0</v>
      </c>
      <c r="AT18" s="97">
        <f t="shared" si="2"/>
        <v>0</v>
      </c>
      <c r="AU18" s="97">
        <f t="shared" si="2"/>
        <v>0</v>
      </c>
      <c r="AV18" s="97">
        <f t="shared" si="2"/>
        <v>0</v>
      </c>
      <c r="AW18" s="97">
        <f t="shared" si="2"/>
        <v>0</v>
      </c>
      <c r="AX18" s="97">
        <f t="shared" si="2"/>
        <v>0</v>
      </c>
      <c r="AY18" s="97">
        <f t="shared" si="2"/>
        <v>0</v>
      </c>
      <c r="AZ18" s="97">
        <f t="shared" si="2"/>
        <v>0</v>
      </c>
      <c r="BA18" s="97">
        <f t="shared" si="2"/>
        <v>0</v>
      </c>
      <c r="BB18" s="97">
        <f t="shared" si="2"/>
        <v>0</v>
      </c>
      <c r="BC18" s="97">
        <f t="shared" si="2"/>
        <v>0</v>
      </c>
      <c r="BD18" s="97">
        <f t="shared" si="2"/>
        <v>0</v>
      </c>
      <c r="BE18" s="97">
        <f t="shared" si="2"/>
        <v>0</v>
      </c>
      <c r="BF18" s="97">
        <f t="shared" si="2"/>
        <v>0</v>
      </c>
      <c r="BG18" s="97">
        <f t="shared" si="2"/>
        <v>0</v>
      </c>
      <c r="BH18" s="97">
        <f t="shared" si="2"/>
        <v>0</v>
      </c>
      <c r="BI18" s="97">
        <f t="shared" si="2"/>
        <v>0</v>
      </c>
    </row>
    <row r="19" spans="1:61">
      <c r="A19" s="94" t="s">
        <v>209</v>
      </c>
      <c r="B19" s="96"/>
      <c r="C19" s="96"/>
      <c r="D19" s="96"/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  <c r="AB19" s="96"/>
      <c r="AC19" s="96"/>
      <c r="AD19" s="96"/>
      <c r="AE19" s="96"/>
      <c r="AF19" s="96"/>
      <c r="AG19" s="96"/>
      <c r="AH19" s="96"/>
      <c r="AI19" s="96"/>
      <c r="AJ19" s="96"/>
      <c r="AK19" s="96"/>
      <c r="AL19" s="96"/>
      <c r="AM19" s="96"/>
      <c r="AN19" s="96"/>
      <c r="AO19" s="96"/>
      <c r="AP19" s="96"/>
      <c r="AQ19" s="96"/>
      <c r="AR19" s="96"/>
      <c r="AS19" s="96"/>
      <c r="AT19" s="96"/>
      <c r="AU19" s="96"/>
      <c r="AV19" s="96"/>
      <c r="AW19" s="96"/>
      <c r="AX19" s="96"/>
      <c r="AY19" s="96"/>
      <c r="AZ19" s="96"/>
      <c r="BA19" s="96"/>
      <c r="BB19" s="96"/>
      <c r="BC19" s="96"/>
      <c r="BD19" s="96"/>
      <c r="BE19" s="96"/>
      <c r="BF19" s="96"/>
      <c r="BG19" s="96"/>
      <c r="BH19" s="96"/>
      <c r="BI19" s="96"/>
    </row>
    <row r="20" spans="1:61">
      <c r="A20" s="93" t="s">
        <v>210</v>
      </c>
      <c r="B20" s="91">
        <f>'Use of Proceeds'!B26</f>
        <v>10000000</v>
      </c>
      <c r="C20" s="91">
        <f>B20</f>
        <v>10000000</v>
      </c>
      <c r="D20" s="91">
        <f t="shared" ref="D20:BI20" si="3">C20</f>
        <v>10000000</v>
      </c>
      <c r="E20" s="91">
        <f t="shared" si="3"/>
        <v>10000000</v>
      </c>
      <c r="F20" s="91">
        <f t="shared" si="3"/>
        <v>10000000</v>
      </c>
      <c r="G20" s="91">
        <f t="shared" si="3"/>
        <v>10000000</v>
      </c>
      <c r="H20" s="91">
        <f t="shared" si="3"/>
        <v>10000000</v>
      </c>
      <c r="I20" s="91">
        <f t="shared" si="3"/>
        <v>10000000</v>
      </c>
      <c r="J20" s="91">
        <f t="shared" si="3"/>
        <v>10000000</v>
      </c>
      <c r="K20" s="91">
        <f t="shared" si="3"/>
        <v>10000000</v>
      </c>
      <c r="L20" s="91">
        <f t="shared" si="3"/>
        <v>10000000</v>
      </c>
      <c r="M20" s="91">
        <f t="shared" si="3"/>
        <v>10000000</v>
      </c>
      <c r="N20" s="91">
        <f t="shared" si="3"/>
        <v>10000000</v>
      </c>
      <c r="O20" s="91">
        <f t="shared" si="3"/>
        <v>10000000</v>
      </c>
      <c r="P20" s="91">
        <f t="shared" si="3"/>
        <v>10000000</v>
      </c>
      <c r="Q20" s="91">
        <f t="shared" si="3"/>
        <v>10000000</v>
      </c>
      <c r="R20" s="91">
        <f t="shared" si="3"/>
        <v>10000000</v>
      </c>
      <c r="S20" s="91">
        <f t="shared" si="3"/>
        <v>10000000</v>
      </c>
      <c r="T20" s="91">
        <f t="shared" si="3"/>
        <v>10000000</v>
      </c>
      <c r="U20" s="91">
        <f t="shared" si="3"/>
        <v>10000000</v>
      </c>
      <c r="V20" s="91">
        <f t="shared" si="3"/>
        <v>10000000</v>
      </c>
      <c r="W20" s="91">
        <f t="shared" si="3"/>
        <v>10000000</v>
      </c>
      <c r="X20" s="91">
        <f t="shared" si="3"/>
        <v>10000000</v>
      </c>
      <c r="Y20" s="91">
        <f t="shared" si="3"/>
        <v>10000000</v>
      </c>
      <c r="Z20" s="91">
        <f t="shared" si="3"/>
        <v>10000000</v>
      </c>
      <c r="AA20" s="91">
        <f t="shared" si="3"/>
        <v>10000000</v>
      </c>
      <c r="AB20" s="91">
        <f t="shared" si="3"/>
        <v>10000000</v>
      </c>
      <c r="AC20" s="91">
        <f t="shared" si="3"/>
        <v>10000000</v>
      </c>
      <c r="AD20" s="91">
        <f t="shared" si="3"/>
        <v>10000000</v>
      </c>
      <c r="AE20" s="91">
        <f t="shared" si="3"/>
        <v>10000000</v>
      </c>
      <c r="AF20" s="91">
        <f t="shared" si="3"/>
        <v>10000000</v>
      </c>
      <c r="AG20" s="91">
        <f t="shared" si="3"/>
        <v>10000000</v>
      </c>
      <c r="AH20" s="91">
        <f t="shared" si="3"/>
        <v>10000000</v>
      </c>
      <c r="AI20" s="91">
        <f t="shared" si="3"/>
        <v>10000000</v>
      </c>
      <c r="AJ20" s="91">
        <f t="shared" si="3"/>
        <v>10000000</v>
      </c>
      <c r="AK20" s="91">
        <f t="shared" si="3"/>
        <v>10000000</v>
      </c>
      <c r="AL20" s="91">
        <f t="shared" si="3"/>
        <v>10000000</v>
      </c>
      <c r="AM20" s="91">
        <f t="shared" si="3"/>
        <v>10000000</v>
      </c>
      <c r="AN20" s="91">
        <f t="shared" si="3"/>
        <v>10000000</v>
      </c>
      <c r="AO20" s="91">
        <f t="shared" si="3"/>
        <v>10000000</v>
      </c>
      <c r="AP20" s="91">
        <f t="shared" si="3"/>
        <v>10000000</v>
      </c>
      <c r="AQ20" s="91">
        <f t="shared" si="3"/>
        <v>10000000</v>
      </c>
      <c r="AR20" s="91">
        <f t="shared" si="3"/>
        <v>10000000</v>
      </c>
      <c r="AS20" s="91">
        <f t="shared" si="3"/>
        <v>10000000</v>
      </c>
      <c r="AT20" s="91">
        <f t="shared" si="3"/>
        <v>10000000</v>
      </c>
      <c r="AU20" s="91">
        <f t="shared" si="3"/>
        <v>10000000</v>
      </c>
      <c r="AV20" s="91">
        <f t="shared" si="3"/>
        <v>10000000</v>
      </c>
      <c r="AW20" s="91">
        <f t="shared" si="3"/>
        <v>10000000</v>
      </c>
      <c r="AX20" s="91">
        <f t="shared" si="3"/>
        <v>10000000</v>
      </c>
      <c r="AY20" s="91">
        <f t="shared" si="3"/>
        <v>10000000</v>
      </c>
      <c r="AZ20" s="91">
        <f t="shared" si="3"/>
        <v>10000000</v>
      </c>
      <c r="BA20" s="91">
        <f t="shared" si="3"/>
        <v>10000000</v>
      </c>
      <c r="BB20" s="91">
        <f t="shared" si="3"/>
        <v>10000000</v>
      </c>
      <c r="BC20" s="91">
        <f t="shared" si="3"/>
        <v>10000000</v>
      </c>
      <c r="BD20" s="91">
        <f t="shared" si="3"/>
        <v>10000000</v>
      </c>
      <c r="BE20" s="91">
        <f t="shared" si="3"/>
        <v>10000000</v>
      </c>
      <c r="BF20" s="91">
        <f t="shared" si="3"/>
        <v>10000000</v>
      </c>
      <c r="BG20" s="91">
        <f t="shared" si="3"/>
        <v>10000000</v>
      </c>
      <c r="BH20" s="91">
        <f t="shared" si="3"/>
        <v>10000000</v>
      </c>
      <c r="BI20" s="91">
        <f t="shared" si="3"/>
        <v>10000000</v>
      </c>
    </row>
    <row r="21" spans="1:61">
      <c r="A21" s="93" t="s">
        <v>211</v>
      </c>
      <c r="B21" s="91">
        <v>0</v>
      </c>
      <c r="C21" s="91">
        <f>SUM(B21:B22)</f>
        <v>6220.7960210073052</v>
      </c>
      <c r="D21" s="91">
        <f t="shared" ref="D21:BI21" si="4">SUM(C21:C22)</f>
        <v>17166.592042014639</v>
      </c>
      <c r="E21" s="91">
        <f t="shared" si="4"/>
        <v>32979.138063021914</v>
      </c>
      <c r="F21" s="91">
        <f t="shared" si="4"/>
        <v>53804.436584029252</v>
      </c>
      <c r="G21" s="91">
        <f t="shared" si="4"/>
        <v>79792.870180036552</v>
      </c>
      <c r="H21" s="91">
        <f t="shared" si="4"/>
        <v>111099.33290329385</v>
      </c>
      <c r="I21" s="91">
        <f t="shared" si="4"/>
        <v>147883.36562761871</v>
      </c>
      <c r="J21" s="91">
        <f t="shared" si="4"/>
        <v>190309.29545304307</v>
      </c>
      <c r="K21" s="91">
        <f t="shared" si="4"/>
        <v>238546.37929259997</v>
      </c>
      <c r="L21" s="91">
        <f t="shared" si="4"/>
        <v>292768.95176671335</v>
      </c>
      <c r="M21" s="91">
        <f t="shared" si="4"/>
        <v>353156.57753441989</v>
      </c>
      <c r="N21" s="91">
        <f t="shared" si="4"/>
        <v>419894.20819452743</v>
      </c>
      <c r="O21" s="91">
        <f t="shared" si="4"/>
        <v>445416.21296483069</v>
      </c>
      <c r="P21" s="91">
        <f t="shared" si="4"/>
        <v>508676.97787876846</v>
      </c>
      <c r="Q21" s="91">
        <f t="shared" si="4"/>
        <v>603817.77978403727</v>
      </c>
      <c r="R21" s="91">
        <f t="shared" si="4"/>
        <v>734026.62237977039</v>
      </c>
      <c r="S21" s="91">
        <f t="shared" si="4"/>
        <v>902810.30973501422</v>
      </c>
      <c r="T21" s="91">
        <f t="shared" si="4"/>
        <v>1114026.3263257197</v>
      </c>
      <c r="U21" s="91">
        <f t="shared" si="4"/>
        <v>1371917.9050754332</v>
      </c>
      <c r="V21" s="91">
        <f t="shared" si="4"/>
        <v>1681152.6022000555</v>
      </c>
      <c r="W21" s="91">
        <f t="shared" si="4"/>
        <v>2046864.7295370775</v>
      </c>
      <c r="X21" s="91">
        <f t="shared" si="4"/>
        <v>2474702.0301077389</v>
      </c>
      <c r="Y21" s="91">
        <f t="shared" si="4"/>
        <v>2970877.0212354041</v>
      </c>
      <c r="Z21" s="91">
        <f t="shared" si="4"/>
        <v>3542223.4719757731</v>
      </c>
      <c r="AA21" s="91">
        <f t="shared" si="4"/>
        <v>3933232.605211467</v>
      </c>
      <c r="AB21" s="91">
        <f t="shared" si="4"/>
        <v>4388874.3338734973</v>
      </c>
      <c r="AC21" s="91">
        <f t="shared" si="4"/>
        <v>4890098.1563581815</v>
      </c>
      <c r="AD21" s="91">
        <f t="shared" si="4"/>
        <v>5439183.1773566511</v>
      </c>
      <c r="AE21" s="91">
        <f t="shared" si="4"/>
        <v>6038522.4567945963</v>
      </c>
      <c r="AF21" s="91">
        <f t="shared" si="4"/>
        <v>6690628.7075939905</v>
      </c>
      <c r="AG21" s="91">
        <f t="shared" si="4"/>
        <v>7398140.2783229072</v>
      </c>
      <c r="AH21" s="91">
        <f t="shared" si="4"/>
        <v>8163827.4349778201</v>
      </c>
      <c r="AI21" s="91">
        <f t="shared" si="4"/>
        <v>8990598.9568550307</v>
      </c>
      <c r="AJ21" s="91">
        <f t="shared" si="4"/>
        <v>9881509.0622156542</v>
      </c>
      <c r="AK21" s="91">
        <f t="shared" si="4"/>
        <v>10839764.68023386</v>
      </c>
      <c r="AL21" s="91">
        <f t="shared" si="4"/>
        <v>11868733.08654253</v>
      </c>
      <c r="AM21" s="91">
        <f t="shared" si="4"/>
        <v>12628705.801205041</v>
      </c>
      <c r="AN21" s="91">
        <f t="shared" si="4"/>
        <v>13501464.178374453</v>
      </c>
      <c r="AO21" s="91">
        <f t="shared" si="4"/>
        <v>14456081.44708861</v>
      </c>
      <c r="AP21" s="91">
        <f t="shared" si="4"/>
        <v>15496650.55192475</v>
      </c>
      <c r="AQ21" s="91">
        <f t="shared" si="4"/>
        <v>16627469.084688975</v>
      </c>
      <c r="AR21" s="91">
        <f t="shared" si="4"/>
        <v>17853049.516777687</v>
      </c>
      <c r="AS21" s="91">
        <f t="shared" si="4"/>
        <v>19178129.94315711</v>
      </c>
      <c r="AT21" s="91">
        <f t="shared" si="4"/>
        <v>20607685.363541778</v>
      </c>
      <c r="AU21" s="91">
        <f t="shared" si="4"/>
        <v>22146939.527631957</v>
      </c>
      <c r="AV21" s="91">
        <f t="shared" si="4"/>
        <v>23801377.37261292</v>
      </c>
      <c r="AW21" s="91">
        <f t="shared" si="4"/>
        <v>25576758.082529206</v>
      </c>
      <c r="AX21" s="91">
        <f t="shared" si="4"/>
        <v>27479128.800627582</v>
      </c>
      <c r="AY21" s="91">
        <f t="shared" si="4"/>
        <v>28890012.478684261</v>
      </c>
      <c r="AZ21" s="91">
        <f t="shared" si="4"/>
        <v>30491660.832336694</v>
      </c>
      <c r="BA21" s="91">
        <f t="shared" si="4"/>
        <v>32240315.994210921</v>
      </c>
      <c r="BB21" s="91">
        <f t="shared" si="4"/>
        <v>34143328.304718025</v>
      </c>
      <c r="BC21" s="91">
        <f t="shared" si="4"/>
        <v>36208415.621289656</v>
      </c>
      <c r="BD21" s="91">
        <f t="shared" si="4"/>
        <v>38443681.694229037</v>
      </c>
      <c r="BE21" s="91">
        <f t="shared" si="4"/>
        <v>40857635.461354561</v>
      </c>
      <c r="BF21" s="91">
        <f t="shared" si="4"/>
        <v>43459211.307375535</v>
      </c>
      <c r="BG21" s="91">
        <f t="shared" si="4"/>
        <v>46257790.336236723</v>
      </c>
      <c r="BH21" s="91">
        <f t="shared" si="4"/>
        <v>49263222.707080141</v>
      </c>
      <c r="BI21" s="91">
        <f t="shared" si="4"/>
        <v>52485851.0870049</v>
      </c>
    </row>
    <row r="22" spans="1:61">
      <c r="A22" s="93" t="s">
        <v>212</v>
      </c>
      <c r="B22" s="91">
        <f>'Monthly Income Statement '!B31</f>
        <v>6220.7960210073052</v>
      </c>
      <c r="C22" s="91">
        <f>'Monthly Income Statement '!C31</f>
        <v>10945.796021007334</v>
      </c>
      <c r="D22" s="91">
        <f>'Monthly Income Statement '!D31</f>
        <v>15812.546021007276</v>
      </c>
      <c r="E22" s="91">
        <f>'Monthly Income Statement '!E31</f>
        <v>20825.298521007338</v>
      </c>
      <c r="F22" s="91">
        <f>'Monthly Income Statement '!F31</f>
        <v>25988.433596007308</v>
      </c>
      <c r="G22" s="91">
        <f>'Monthly Income Statement '!G31</f>
        <v>31306.462723257297</v>
      </c>
      <c r="H22" s="91">
        <f>'Monthly Income Statement '!H31</f>
        <v>36784.032724324861</v>
      </c>
      <c r="I22" s="91">
        <f>'Monthly Income Statement '!I31</f>
        <v>42425.929825424348</v>
      </c>
      <c r="J22" s="91">
        <f>'Monthly Income Statement '!J31</f>
        <v>48237.083839556886</v>
      </c>
      <c r="K22" s="91">
        <f>'Monthly Income Statement '!K31</f>
        <v>54222.57247411336</v>
      </c>
      <c r="L22" s="91">
        <f>'Monthly Income Statement '!L31</f>
        <v>60387.625767706559</v>
      </c>
      <c r="M22" s="91">
        <f>'Monthly Income Statement '!M31</f>
        <v>66737.630660107519</v>
      </c>
      <c r="N22" s="91">
        <f>'Monthly Income Statement '!N31</f>
        <v>25522.004770303276</v>
      </c>
      <c r="O22" s="91">
        <f>'Monthly Income Statement '!O31</f>
        <v>63260.764913937761</v>
      </c>
      <c r="P22" s="91">
        <f>'Monthly Income Statement '!P31</f>
        <v>95140.801905268847</v>
      </c>
      <c r="Q22" s="91">
        <f>'Monthly Income Statement '!Q31</f>
        <v>130208.84259573311</v>
      </c>
      <c r="R22" s="91">
        <f>'Monthly Income Statement '!R31</f>
        <v>168783.68735524383</v>
      </c>
      <c r="S22" s="91">
        <f>'Monthly Income Statement '!S31</f>
        <v>211216.01659070561</v>
      </c>
      <c r="T22" s="91">
        <f>'Monthly Income Statement '!T31</f>
        <v>257891.57874971349</v>
      </c>
      <c r="U22" s="91">
        <f>'Monthly Income Statement '!U31</f>
        <v>309234.69712462235</v>
      </c>
      <c r="V22" s="91">
        <f>'Monthly Income Statement '!V31</f>
        <v>365712.12733702193</v>
      </c>
      <c r="W22" s="91">
        <f>'Monthly Income Statement '!W31</f>
        <v>427837.30057066143</v>
      </c>
      <c r="X22" s="91">
        <f>'Monthly Income Statement '!X31</f>
        <v>496174.9911276651</v>
      </c>
      <c r="Y22" s="91">
        <f>'Monthly Income Statement '!Y31</f>
        <v>571346.45074036904</v>
      </c>
      <c r="Z22" s="91">
        <f>'Monthly Income Statement '!Z31</f>
        <v>391009.13323569379</v>
      </c>
      <c r="AA22" s="91">
        <f>'Monthly Income Statement '!AA31</f>
        <v>455641.72866203054</v>
      </c>
      <c r="AB22" s="91">
        <f>'Monthly Income Statement '!AB31</f>
        <v>501223.82248468406</v>
      </c>
      <c r="AC22" s="91">
        <f>'Monthly Income Statement '!AC31</f>
        <v>549085.0209984699</v>
      </c>
      <c r="AD22" s="91">
        <f>'Monthly Income Statement '!AD31</f>
        <v>599339.27943794534</v>
      </c>
      <c r="AE22" s="91">
        <f>'Monthly Income Statement '!AE31</f>
        <v>652106.25079939433</v>
      </c>
      <c r="AF22" s="91">
        <f>'Monthly Income Statement '!AF31</f>
        <v>707511.57072891621</v>
      </c>
      <c r="AG22" s="91">
        <f>'Monthly Income Statement '!AG31</f>
        <v>765687.15665491333</v>
      </c>
      <c r="AH22" s="91">
        <f>'Monthly Income Statement '!AH31</f>
        <v>826771.52187721117</v>
      </c>
      <c r="AI22" s="91">
        <f>'Monthly Income Statement '!AI31</f>
        <v>890910.10536062333</v>
      </c>
      <c r="AJ22" s="91">
        <f>'Monthly Income Statement '!AJ31</f>
        <v>958255.61801820656</v>
      </c>
      <c r="AK22" s="91">
        <f>'Monthly Income Statement '!AK31</f>
        <v>1028968.4063086688</v>
      </c>
      <c r="AL22" s="91">
        <f>'Monthly Income Statement '!AL31</f>
        <v>759972.7146625102</v>
      </c>
      <c r="AM22" s="91">
        <f>'Monthly Income Statement '!AM31</f>
        <v>872758.37716941116</v>
      </c>
      <c r="AN22" s="91">
        <f>'Monthly Income Statement '!AN31</f>
        <v>954617.26871415763</v>
      </c>
      <c r="AO22" s="91">
        <f>'Monthly Income Statement '!AO31</f>
        <v>1040569.1048361408</v>
      </c>
      <c r="AP22" s="91">
        <f>'Monthly Income Statement '!AP31</f>
        <v>1130818.5327642239</v>
      </c>
      <c r="AQ22" s="91">
        <f>'Monthly Income Statement '!AQ31</f>
        <v>1225580.4320887111</v>
      </c>
      <c r="AR22" s="91">
        <f>'Monthly Income Statement '!AR31</f>
        <v>1325080.426379422</v>
      </c>
      <c r="AS22" s="91">
        <f>'Monthly Income Statement '!AS31</f>
        <v>1429555.4203846694</v>
      </c>
      <c r="AT22" s="91">
        <f>'Monthly Income Statement '!AT31</f>
        <v>1539254.164090178</v>
      </c>
      <c r="AU22" s="91">
        <f>'Monthly Income Statement '!AU31</f>
        <v>1654437.8449809628</v>
      </c>
      <c r="AV22" s="91">
        <f>'Monthly Income Statement '!AV31</f>
        <v>1775380.7099162859</v>
      </c>
      <c r="AW22" s="91">
        <f>'Monthly Income Statement '!AW31</f>
        <v>1902370.7180983762</v>
      </c>
      <c r="AX22" s="91">
        <f>'Monthly Income Statement '!AX31</f>
        <v>1410883.6780566785</v>
      </c>
      <c r="AY22" s="91">
        <f>'Monthly Income Statement '!AY31</f>
        <v>1601648.3536524328</v>
      </c>
      <c r="AZ22" s="91">
        <f>'Monthly Income Statement '!AZ31</f>
        <v>1748655.1618742265</v>
      </c>
      <c r="BA22" s="91">
        <f>'Monthly Income Statement '!BA31</f>
        <v>1903012.3105071068</v>
      </c>
      <c r="BB22" s="91">
        <f>'Monthly Income Statement '!BB31</f>
        <v>2065087.3165716336</v>
      </c>
      <c r="BC22" s="91">
        <f>'Monthly Income Statement '!BC31</f>
        <v>2235266.0729393847</v>
      </c>
      <c r="BD22" s="91">
        <f>'Monthly Income Statement '!BD31</f>
        <v>2413953.7671255246</v>
      </c>
      <c r="BE22" s="91">
        <f>'Monthly Income Statement '!BE31</f>
        <v>2601575.8460209724</v>
      </c>
      <c r="BF22" s="91">
        <f>'Monthly Income Statement '!BF31</f>
        <v>2798579.0288611893</v>
      </c>
      <c r="BG22" s="91">
        <f>'Monthly Income Statement '!BG31</f>
        <v>3005432.3708434198</v>
      </c>
      <c r="BH22" s="91">
        <f>'Monthly Income Statement '!BH31</f>
        <v>3222628.3799247621</v>
      </c>
      <c r="BI22" s="91">
        <f>'Monthly Income Statement '!BI31</f>
        <v>3450684.1894601714</v>
      </c>
    </row>
    <row r="23" spans="1:61">
      <c r="A23" s="94" t="s">
        <v>213</v>
      </c>
      <c r="B23" s="97">
        <f t="shared" ref="B23:AG23" si="5">SUM(B20:B22)</f>
        <v>10006220.796021007</v>
      </c>
      <c r="C23" s="97">
        <f t="shared" si="5"/>
        <v>10017166.592042014</v>
      </c>
      <c r="D23" s="97">
        <f t="shared" si="5"/>
        <v>10032979.138063021</v>
      </c>
      <c r="E23" s="97">
        <f t="shared" si="5"/>
        <v>10053804.436584027</v>
      </c>
      <c r="F23" s="97">
        <f t="shared" si="5"/>
        <v>10079792.870180037</v>
      </c>
      <c r="G23" s="97">
        <f t="shared" si="5"/>
        <v>10111099.332903294</v>
      </c>
      <c r="H23" s="97">
        <f t="shared" si="5"/>
        <v>10147883.365627619</v>
      </c>
      <c r="I23" s="97">
        <f t="shared" si="5"/>
        <v>10190309.295453044</v>
      </c>
      <c r="J23" s="97">
        <f t="shared" si="5"/>
        <v>10238546.3792926</v>
      </c>
      <c r="K23" s="97">
        <f t="shared" si="5"/>
        <v>10292768.951766713</v>
      </c>
      <c r="L23" s="97">
        <f t="shared" si="5"/>
        <v>10353156.577534419</v>
      </c>
      <c r="M23" s="97">
        <f t="shared" si="5"/>
        <v>10419894.208194528</v>
      </c>
      <c r="N23" s="97">
        <f t="shared" si="5"/>
        <v>10445416.212964831</v>
      </c>
      <c r="O23" s="97">
        <f t="shared" si="5"/>
        <v>10508676.977878768</v>
      </c>
      <c r="P23" s="97">
        <f t="shared" si="5"/>
        <v>10603817.779784037</v>
      </c>
      <c r="Q23" s="97">
        <f t="shared" si="5"/>
        <v>10734026.622379771</v>
      </c>
      <c r="R23" s="97">
        <f t="shared" si="5"/>
        <v>10902810.309735015</v>
      </c>
      <c r="S23" s="97">
        <f t="shared" si="5"/>
        <v>11114026.32632572</v>
      </c>
      <c r="T23" s="97">
        <f t="shared" si="5"/>
        <v>11371917.905075435</v>
      </c>
      <c r="U23" s="97">
        <f t="shared" si="5"/>
        <v>11681152.602200055</v>
      </c>
      <c r="V23" s="97">
        <f t="shared" si="5"/>
        <v>12046864.729537077</v>
      </c>
      <c r="W23" s="97">
        <f t="shared" si="5"/>
        <v>12474702.030107738</v>
      </c>
      <c r="X23" s="97">
        <f t="shared" si="5"/>
        <v>12970877.021235403</v>
      </c>
      <c r="Y23" s="97">
        <f t="shared" si="5"/>
        <v>13542223.471975774</v>
      </c>
      <c r="Z23" s="97">
        <f t="shared" si="5"/>
        <v>13933232.605211467</v>
      </c>
      <c r="AA23" s="97">
        <f t="shared" si="5"/>
        <v>14388874.333873497</v>
      </c>
      <c r="AB23" s="97">
        <f t="shared" si="5"/>
        <v>14890098.156358181</v>
      </c>
      <c r="AC23" s="97">
        <f t="shared" si="5"/>
        <v>15439183.177356653</v>
      </c>
      <c r="AD23" s="97">
        <f t="shared" si="5"/>
        <v>16038522.456794597</v>
      </c>
      <c r="AE23" s="97">
        <f t="shared" si="5"/>
        <v>16690628.707593992</v>
      </c>
      <c r="AF23" s="97">
        <f t="shared" si="5"/>
        <v>17398140.278322905</v>
      </c>
      <c r="AG23" s="97">
        <f t="shared" si="5"/>
        <v>18163827.434977818</v>
      </c>
      <c r="AH23" s="97">
        <f t="shared" ref="AH23:BI23" si="6">SUM(AH20:AH22)</f>
        <v>18990598.956855033</v>
      </c>
      <c r="AI23" s="97">
        <f t="shared" si="6"/>
        <v>19881509.062215652</v>
      </c>
      <c r="AJ23" s="97">
        <f t="shared" si="6"/>
        <v>20839764.680233862</v>
      </c>
      <c r="AK23" s="97">
        <f t="shared" si="6"/>
        <v>21868733.086542528</v>
      </c>
      <c r="AL23" s="97">
        <f t="shared" si="6"/>
        <v>22628705.801205043</v>
      </c>
      <c r="AM23" s="97">
        <f t="shared" si="6"/>
        <v>23501464.178374451</v>
      </c>
      <c r="AN23" s="97">
        <f t="shared" si="6"/>
        <v>24456081.44708861</v>
      </c>
      <c r="AO23" s="97">
        <f t="shared" si="6"/>
        <v>25496650.55192475</v>
      </c>
      <c r="AP23" s="97">
        <f t="shared" si="6"/>
        <v>26627469.084688973</v>
      </c>
      <c r="AQ23" s="97">
        <f t="shared" si="6"/>
        <v>27853049.516777687</v>
      </c>
      <c r="AR23" s="97">
        <f t="shared" si="6"/>
        <v>29178129.94315711</v>
      </c>
      <c r="AS23" s="97">
        <f t="shared" si="6"/>
        <v>30607685.363541778</v>
      </c>
      <c r="AT23" s="97">
        <f t="shared" si="6"/>
        <v>32146939.527631957</v>
      </c>
      <c r="AU23" s="97">
        <f t="shared" si="6"/>
        <v>33801377.372612923</v>
      </c>
      <c r="AV23" s="97">
        <f t="shared" si="6"/>
        <v>35576758.08252921</v>
      </c>
      <c r="AW23" s="97">
        <f t="shared" si="6"/>
        <v>37479128.800627582</v>
      </c>
      <c r="AX23" s="97">
        <f t="shared" si="6"/>
        <v>38890012.478684261</v>
      </c>
      <c r="AY23" s="97">
        <f t="shared" si="6"/>
        <v>40491660.832336694</v>
      </c>
      <c r="AZ23" s="97">
        <f t="shared" si="6"/>
        <v>42240315.994210921</v>
      </c>
      <c r="BA23" s="97">
        <f t="shared" si="6"/>
        <v>44143328.304718025</v>
      </c>
      <c r="BB23" s="97">
        <f t="shared" si="6"/>
        <v>46208415.621289656</v>
      </c>
      <c r="BC23" s="97">
        <f t="shared" si="6"/>
        <v>48443681.694229037</v>
      </c>
      <c r="BD23" s="97">
        <f t="shared" si="6"/>
        <v>50857635.461354561</v>
      </c>
      <c r="BE23" s="97">
        <f t="shared" si="6"/>
        <v>53459211.307375535</v>
      </c>
      <c r="BF23" s="97">
        <f t="shared" si="6"/>
        <v>56257790.336236723</v>
      </c>
      <c r="BG23" s="97">
        <f t="shared" si="6"/>
        <v>59263222.707080141</v>
      </c>
      <c r="BH23" s="97">
        <f t="shared" si="6"/>
        <v>62485851.0870049</v>
      </c>
      <c r="BI23" s="97">
        <f t="shared" si="6"/>
        <v>65936535.276465073</v>
      </c>
    </row>
    <row r="24" spans="1:61">
      <c r="A24" s="94"/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</row>
    <row r="25" spans="1:61" s="83" customFormat="1">
      <c r="A25" s="94" t="s">
        <v>214</v>
      </c>
      <c r="B25" s="95">
        <f t="shared" ref="B25:AG25" si="7">B23+B18</f>
        <v>10006220.796021007</v>
      </c>
      <c r="C25" s="95">
        <f t="shared" si="7"/>
        <v>10017166.592042014</v>
      </c>
      <c r="D25" s="95">
        <f t="shared" si="7"/>
        <v>10032979.138063021</v>
      </c>
      <c r="E25" s="95">
        <f t="shared" si="7"/>
        <v>10053804.436584027</v>
      </c>
      <c r="F25" s="95">
        <f t="shared" si="7"/>
        <v>10079792.870180037</v>
      </c>
      <c r="G25" s="95">
        <f t="shared" si="7"/>
        <v>10111099.332903294</v>
      </c>
      <c r="H25" s="95">
        <f t="shared" si="7"/>
        <v>10147883.365627619</v>
      </c>
      <c r="I25" s="95">
        <f t="shared" si="7"/>
        <v>10190309.295453044</v>
      </c>
      <c r="J25" s="95">
        <f t="shared" si="7"/>
        <v>10238546.3792926</v>
      </c>
      <c r="K25" s="95">
        <f t="shared" si="7"/>
        <v>10292768.951766713</v>
      </c>
      <c r="L25" s="95">
        <f t="shared" si="7"/>
        <v>10353156.577534419</v>
      </c>
      <c r="M25" s="95">
        <f t="shared" si="7"/>
        <v>10419894.208194528</v>
      </c>
      <c r="N25" s="95">
        <f t="shared" si="7"/>
        <v>10445416.212964831</v>
      </c>
      <c r="O25" s="95">
        <f t="shared" si="7"/>
        <v>10508676.977878768</v>
      </c>
      <c r="P25" s="95">
        <f t="shared" si="7"/>
        <v>10603817.779784037</v>
      </c>
      <c r="Q25" s="95">
        <f t="shared" si="7"/>
        <v>10734026.622379771</v>
      </c>
      <c r="R25" s="95">
        <f t="shared" si="7"/>
        <v>10902810.309735015</v>
      </c>
      <c r="S25" s="95">
        <f t="shared" si="7"/>
        <v>11114026.32632572</v>
      </c>
      <c r="T25" s="95">
        <f t="shared" si="7"/>
        <v>11371917.905075435</v>
      </c>
      <c r="U25" s="95">
        <f t="shared" si="7"/>
        <v>11681152.602200055</v>
      </c>
      <c r="V25" s="95">
        <f t="shared" si="7"/>
        <v>12046864.729537077</v>
      </c>
      <c r="W25" s="95">
        <f t="shared" si="7"/>
        <v>12474702.030107738</v>
      </c>
      <c r="X25" s="95">
        <f t="shared" si="7"/>
        <v>12970877.021235403</v>
      </c>
      <c r="Y25" s="95">
        <f t="shared" si="7"/>
        <v>13542223.471975774</v>
      </c>
      <c r="Z25" s="95">
        <f t="shared" si="7"/>
        <v>13933232.605211467</v>
      </c>
      <c r="AA25" s="95">
        <f t="shared" si="7"/>
        <v>14388874.333873497</v>
      </c>
      <c r="AB25" s="95">
        <f t="shared" si="7"/>
        <v>14890098.156358181</v>
      </c>
      <c r="AC25" s="95">
        <f t="shared" si="7"/>
        <v>15439183.177356653</v>
      </c>
      <c r="AD25" s="95">
        <f t="shared" si="7"/>
        <v>16038522.456794597</v>
      </c>
      <c r="AE25" s="95">
        <f t="shared" si="7"/>
        <v>16690628.707593992</v>
      </c>
      <c r="AF25" s="95">
        <f t="shared" si="7"/>
        <v>17398140.278322905</v>
      </c>
      <c r="AG25" s="95">
        <f t="shared" si="7"/>
        <v>18163827.434977818</v>
      </c>
      <c r="AH25" s="95">
        <f t="shared" ref="AH25:BI25" si="8">AH23+AH18</f>
        <v>18990598.956855033</v>
      </c>
      <c r="AI25" s="95">
        <f t="shared" si="8"/>
        <v>19881509.062215652</v>
      </c>
      <c r="AJ25" s="95">
        <f t="shared" si="8"/>
        <v>20839764.680233862</v>
      </c>
      <c r="AK25" s="95">
        <f t="shared" si="8"/>
        <v>21868733.086542528</v>
      </c>
      <c r="AL25" s="95">
        <f t="shared" si="8"/>
        <v>22628705.801205043</v>
      </c>
      <c r="AM25" s="95">
        <f t="shared" si="8"/>
        <v>23501464.178374451</v>
      </c>
      <c r="AN25" s="95">
        <f t="shared" si="8"/>
        <v>24456081.44708861</v>
      </c>
      <c r="AO25" s="95">
        <f t="shared" si="8"/>
        <v>25496650.55192475</v>
      </c>
      <c r="AP25" s="95">
        <f t="shared" si="8"/>
        <v>26627469.084688973</v>
      </c>
      <c r="AQ25" s="95">
        <f t="shared" si="8"/>
        <v>27853049.516777687</v>
      </c>
      <c r="AR25" s="95">
        <f t="shared" si="8"/>
        <v>29178129.94315711</v>
      </c>
      <c r="AS25" s="95">
        <f t="shared" si="8"/>
        <v>30607685.363541778</v>
      </c>
      <c r="AT25" s="95">
        <f t="shared" si="8"/>
        <v>32146939.527631957</v>
      </c>
      <c r="AU25" s="95">
        <f t="shared" si="8"/>
        <v>33801377.372612923</v>
      </c>
      <c r="AV25" s="95">
        <f t="shared" si="8"/>
        <v>35576758.08252921</v>
      </c>
      <c r="AW25" s="95">
        <f t="shared" si="8"/>
        <v>37479128.800627582</v>
      </c>
      <c r="AX25" s="95">
        <f t="shared" si="8"/>
        <v>38890012.478684261</v>
      </c>
      <c r="AY25" s="95">
        <f t="shared" si="8"/>
        <v>40491660.832336694</v>
      </c>
      <c r="AZ25" s="95">
        <f t="shared" si="8"/>
        <v>42240315.994210921</v>
      </c>
      <c r="BA25" s="95">
        <f t="shared" si="8"/>
        <v>44143328.304718025</v>
      </c>
      <c r="BB25" s="95">
        <f t="shared" si="8"/>
        <v>46208415.621289656</v>
      </c>
      <c r="BC25" s="95">
        <f t="shared" si="8"/>
        <v>48443681.694229037</v>
      </c>
      <c r="BD25" s="95">
        <f t="shared" si="8"/>
        <v>50857635.461354561</v>
      </c>
      <c r="BE25" s="95">
        <f t="shared" si="8"/>
        <v>53459211.307375535</v>
      </c>
      <c r="BF25" s="95">
        <f t="shared" si="8"/>
        <v>56257790.336236723</v>
      </c>
      <c r="BG25" s="95">
        <f t="shared" si="8"/>
        <v>59263222.707080141</v>
      </c>
      <c r="BH25" s="95">
        <f t="shared" si="8"/>
        <v>62485851.0870049</v>
      </c>
      <c r="BI25" s="95">
        <f t="shared" si="8"/>
        <v>65936535.276465073</v>
      </c>
    </row>
    <row r="26" spans="1:61">
      <c r="B26" s="98"/>
      <c r="C26" s="98"/>
      <c r="D26" s="98"/>
      <c r="E26" s="98"/>
      <c r="F26" s="98"/>
      <c r="G26" s="81"/>
      <c r="H26" s="81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</row>
    <row r="27" spans="1:61">
      <c r="B27" s="99">
        <f t="shared" ref="B27:AG27" si="9">B13-B25</f>
        <v>0</v>
      </c>
      <c r="C27" s="99">
        <f t="shared" si="9"/>
        <v>0</v>
      </c>
      <c r="D27" s="99">
        <f t="shared" si="9"/>
        <v>0</v>
      </c>
      <c r="E27" s="99">
        <f t="shared" si="9"/>
        <v>0</v>
      </c>
      <c r="F27" s="99">
        <f t="shared" si="9"/>
        <v>0</v>
      </c>
      <c r="G27" s="99">
        <f t="shared" si="9"/>
        <v>0</v>
      </c>
      <c r="H27" s="99">
        <f t="shared" si="9"/>
        <v>0</v>
      </c>
      <c r="I27" s="99">
        <f t="shared" si="9"/>
        <v>0</v>
      </c>
      <c r="J27" s="99">
        <f t="shared" si="9"/>
        <v>0</v>
      </c>
      <c r="K27" s="99">
        <f t="shared" si="9"/>
        <v>0</v>
      </c>
      <c r="L27" s="99">
        <f t="shared" si="9"/>
        <v>0</v>
      </c>
      <c r="M27" s="99">
        <f t="shared" si="9"/>
        <v>0</v>
      </c>
      <c r="N27" s="99">
        <f t="shared" si="9"/>
        <v>0</v>
      </c>
      <c r="O27" s="99">
        <f t="shared" si="9"/>
        <v>0</v>
      </c>
      <c r="P27" s="99">
        <f t="shared" si="9"/>
        <v>0</v>
      </c>
      <c r="Q27" s="99">
        <f t="shared" si="9"/>
        <v>0</v>
      </c>
      <c r="R27" s="99">
        <f t="shared" si="9"/>
        <v>0</v>
      </c>
      <c r="S27" s="99">
        <f t="shared" si="9"/>
        <v>0</v>
      </c>
      <c r="T27" s="99">
        <f t="shared" si="9"/>
        <v>0</v>
      </c>
      <c r="U27" s="99">
        <f t="shared" si="9"/>
        <v>0</v>
      </c>
      <c r="V27" s="99">
        <f t="shared" si="9"/>
        <v>0</v>
      </c>
      <c r="W27" s="99">
        <f t="shared" si="9"/>
        <v>0</v>
      </c>
      <c r="X27" s="99">
        <f t="shared" si="9"/>
        <v>0</v>
      </c>
      <c r="Y27" s="99">
        <f t="shared" si="9"/>
        <v>0</v>
      </c>
      <c r="Z27" s="99">
        <f t="shared" si="9"/>
        <v>0</v>
      </c>
      <c r="AA27" s="99">
        <f t="shared" si="9"/>
        <v>0</v>
      </c>
      <c r="AB27" s="99">
        <f t="shared" si="9"/>
        <v>0</v>
      </c>
      <c r="AC27" s="99">
        <f t="shared" si="9"/>
        <v>0</v>
      </c>
      <c r="AD27" s="99">
        <f t="shared" si="9"/>
        <v>0</v>
      </c>
      <c r="AE27" s="99">
        <f t="shared" si="9"/>
        <v>0</v>
      </c>
      <c r="AF27" s="99">
        <f t="shared" si="9"/>
        <v>0</v>
      </c>
      <c r="AG27" s="99">
        <f t="shared" si="9"/>
        <v>0</v>
      </c>
      <c r="AH27" s="99">
        <f t="shared" ref="AH27:BI27" si="10">AH13-AH25</f>
        <v>0</v>
      </c>
      <c r="AI27" s="99">
        <f t="shared" si="10"/>
        <v>0</v>
      </c>
      <c r="AJ27" s="99">
        <f t="shared" si="10"/>
        <v>0</v>
      </c>
      <c r="AK27" s="99">
        <f t="shared" si="10"/>
        <v>0</v>
      </c>
      <c r="AL27" s="99">
        <f t="shared" si="10"/>
        <v>0</v>
      </c>
      <c r="AM27" s="99">
        <f t="shared" si="10"/>
        <v>0</v>
      </c>
      <c r="AN27" s="99">
        <f t="shared" si="10"/>
        <v>0</v>
      </c>
      <c r="AO27" s="99">
        <f t="shared" si="10"/>
        <v>0</v>
      </c>
      <c r="AP27" s="99">
        <f t="shared" si="10"/>
        <v>0</v>
      </c>
      <c r="AQ27" s="99">
        <f t="shared" si="10"/>
        <v>0</v>
      </c>
      <c r="AR27" s="99">
        <f t="shared" si="10"/>
        <v>0</v>
      </c>
      <c r="AS27" s="99">
        <f t="shared" si="10"/>
        <v>0</v>
      </c>
      <c r="AT27" s="99">
        <f t="shared" si="10"/>
        <v>0</v>
      </c>
      <c r="AU27" s="99">
        <f t="shared" si="10"/>
        <v>0</v>
      </c>
      <c r="AV27" s="99">
        <f t="shared" si="10"/>
        <v>0</v>
      </c>
      <c r="AW27" s="99">
        <f t="shared" si="10"/>
        <v>0</v>
      </c>
      <c r="AX27" s="99">
        <f t="shared" si="10"/>
        <v>0</v>
      </c>
      <c r="AY27" s="99">
        <f t="shared" si="10"/>
        <v>0</v>
      </c>
      <c r="AZ27" s="99">
        <f t="shared" si="10"/>
        <v>0</v>
      </c>
      <c r="BA27" s="99">
        <f t="shared" si="10"/>
        <v>0</v>
      </c>
      <c r="BB27" s="99">
        <f t="shared" si="10"/>
        <v>0</v>
      </c>
      <c r="BC27" s="99">
        <f t="shared" si="10"/>
        <v>0</v>
      </c>
      <c r="BD27" s="99">
        <f t="shared" si="10"/>
        <v>0</v>
      </c>
      <c r="BE27" s="99">
        <f t="shared" si="10"/>
        <v>0</v>
      </c>
      <c r="BF27" s="99">
        <f t="shared" si="10"/>
        <v>0</v>
      </c>
      <c r="BG27" s="99">
        <f t="shared" si="10"/>
        <v>0</v>
      </c>
      <c r="BH27" s="99">
        <f t="shared" si="10"/>
        <v>0</v>
      </c>
      <c r="BI27" s="99">
        <f t="shared" si="10"/>
        <v>0</v>
      </c>
    </row>
    <row r="28" spans="1:61">
      <c r="B28" s="81"/>
      <c r="C28" s="81"/>
      <c r="D28" s="81"/>
      <c r="E28" s="81"/>
      <c r="F28" s="81"/>
      <c r="G28" s="81"/>
      <c r="H28" s="81"/>
      <c r="I28" s="81"/>
      <c r="J28" s="81"/>
      <c r="K28" s="81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1"/>
      <c r="BD28" s="81"/>
      <c r="BE28" s="81"/>
      <c r="BF28" s="81"/>
      <c r="BG28" s="81"/>
      <c r="BH28" s="81"/>
      <c r="BI28" s="81"/>
    </row>
    <row r="29" spans="1:61"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</row>
    <row r="30" spans="1:61"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0"/>
      <c r="AY30" s="100"/>
      <c r="AZ30" s="100"/>
      <c r="BA30" s="100"/>
      <c r="BB30" s="100"/>
      <c r="BC30" s="100"/>
      <c r="BD30" s="100"/>
      <c r="BE30" s="100"/>
      <c r="BF30" s="100"/>
      <c r="BG30" s="100"/>
      <c r="BH30" s="100"/>
      <c r="BI30" s="100"/>
    </row>
    <row r="31" spans="1:61"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  <c r="AQ31" s="100"/>
      <c r="AR31" s="100"/>
      <c r="AS31" s="100"/>
      <c r="AT31" s="100"/>
      <c r="AU31" s="100"/>
      <c r="AV31" s="100"/>
      <c r="AW31" s="100"/>
      <c r="AX31" s="100"/>
      <c r="AY31" s="100"/>
      <c r="AZ31" s="100"/>
      <c r="BA31" s="100"/>
      <c r="BB31" s="100"/>
      <c r="BC31" s="100"/>
      <c r="BD31" s="100"/>
      <c r="BE31" s="100"/>
      <c r="BF31" s="100"/>
      <c r="BG31" s="100"/>
      <c r="BH31" s="100"/>
      <c r="BI31" s="100"/>
    </row>
    <row r="32" spans="1:61"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100"/>
      <c r="AQ32" s="100"/>
      <c r="AR32" s="100"/>
      <c r="AS32" s="100"/>
      <c r="AT32" s="100"/>
      <c r="AU32" s="100"/>
      <c r="AV32" s="100"/>
      <c r="AW32" s="100"/>
      <c r="AX32" s="100"/>
      <c r="AY32" s="100"/>
      <c r="AZ32" s="100"/>
      <c r="BA32" s="100"/>
      <c r="BB32" s="100"/>
      <c r="BC32" s="100"/>
      <c r="BD32" s="100"/>
      <c r="BE32" s="100"/>
      <c r="BF32" s="100"/>
      <c r="BG32" s="100"/>
      <c r="BH32" s="100"/>
      <c r="BI32" s="100"/>
    </row>
    <row r="33" spans="2:61"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100"/>
      <c r="AP33" s="100"/>
      <c r="AQ33" s="100"/>
      <c r="AR33" s="100"/>
      <c r="AS33" s="100"/>
      <c r="AT33" s="100"/>
      <c r="AU33" s="100"/>
      <c r="AV33" s="100"/>
      <c r="AW33" s="100"/>
      <c r="AX33" s="100"/>
      <c r="AY33" s="100"/>
      <c r="AZ33" s="100"/>
      <c r="BA33" s="100"/>
      <c r="BB33" s="100"/>
      <c r="BC33" s="100"/>
      <c r="BD33" s="100"/>
      <c r="BE33" s="100"/>
      <c r="BF33" s="100"/>
      <c r="BG33" s="100"/>
      <c r="BH33" s="100"/>
      <c r="BI33" s="100"/>
    </row>
  </sheetData>
  <pageMargins left="0.7" right="0.7" top="0.75" bottom="0.75" header="0.3" footer="0.3"/>
  <pageSetup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2"/>
  <dimension ref="A2:CD30"/>
  <sheetViews>
    <sheetView showGridLines="0" zoomScale="85" zoomScaleNormal="85" workbookViewId="0">
      <selection activeCell="A2" sqref="A2"/>
    </sheetView>
  </sheetViews>
  <sheetFormatPr defaultColWidth="9.109375" defaultRowHeight="15.6"/>
  <cols>
    <col min="1" max="1" width="35.44140625" style="69" customWidth="1"/>
    <col min="2" max="2" width="13.5546875" style="69" customWidth="1"/>
    <col min="3" max="9" width="12.88671875" style="69" customWidth="1"/>
    <col min="10" max="11" width="12.6640625" style="69" customWidth="1"/>
    <col min="12" max="12" width="13.33203125" style="69" customWidth="1"/>
    <col min="13" max="13" width="13.109375" style="69" customWidth="1"/>
    <col min="14" max="14" width="15" style="69" customWidth="1"/>
    <col min="15" max="15" width="14.6640625" style="69" customWidth="1"/>
    <col min="16" max="16" width="15.109375" style="69" customWidth="1"/>
    <col min="17" max="17" width="14.5546875" style="69" customWidth="1"/>
    <col min="18" max="18" width="15.33203125" style="69" customWidth="1"/>
    <col min="19" max="19" width="15.5546875" style="69" customWidth="1"/>
    <col min="20" max="20" width="15.33203125" style="69" customWidth="1"/>
    <col min="21" max="21" width="14.6640625" style="69" customWidth="1"/>
    <col min="22" max="22" width="15.44140625" style="69" customWidth="1"/>
    <col min="23" max="23" width="15.5546875" style="69" customWidth="1"/>
    <col min="24" max="24" width="15.44140625" style="69" customWidth="1"/>
    <col min="25" max="25" width="15.33203125" style="69" customWidth="1"/>
    <col min="26" max="26" width="16" style="69" customWidth="1"/>
    <col min="27" max="27" width="16.44140625" style="69" customWidth="1"/>
    <col min="28" max="28" width="16" style="69" customWidth="1"/>
    <col min="29" max="29" width="16.88671875" style="69" customWidth="1"/>
    <col min="30" max="30" width="15.88671875" style="69" customWidth="1"/>
    <col min="31" max="31" width="16.5546875" style="69" customWidth="1"/>
    <col min="32" max="32" width="16.33203125" style="69" customWidth="1"/>
    <col min="33" max="34" width="16.88671875" style="69" customWidth="1"/>
    <col min="35" max="35" width="16.44140625" style="69" customWidth="1"/>
    <col min="36" max="36" width="16.5546875" style="69" customWidth="1"/>
    <col min="37" max="37" width="16.6640625" style="69" customWidth="1"/>
    <col min="38" max="38" width="16.44140625" style="69" customWidth="1"/>
    <col min="39" max="39" width="16.6640625" style="69" customWidth="1"/>
    <col min="40" max="40" width="17" style="69" customWidth="1"/>
    <col min="41" max="41" width="16.5546875" style="69" customWidth="1"/>
    <col min="42" max="42" width="17.33203125" style="69" customWidth="1"/>
    <col min="43" max="43" width="17" style="69" customWidth="1"/>
    <col min="44" max="44" width="16.6640625" style="69" customWidth="1"/>
    <col min="45" max="45" width="17" style="69" customWidth="1"/>
    <col min="46" max="46" width="16.5546875" style="69" customWidth="1"/>
    <col min="47" max="48" width="16.44140625" style="69" customWidth="1"/>
    <col min="49" max="49" width="16.5546875" style="69" customWidth="1"/>
    <col min="50" max="51" width="17.33203125" style="69" customWidth="1"/>
    <col min="52" max="52" width="17.44140625" style="69" customWidth="1"/>
    <col min="53" max="53" width="16.5546875" style="69" customWidth="1"/>
    <col min="54" max="54" width="17" style="69" customWidth="1"/>
    <col min="55" max="55" width="16.5546875" style="69" customWidth="1"/>
    <col min="56" max="56" width="16.88671875" style="69" customWidth="1"/>
    <col min="57" max="57" width="16.44140625" style="69" customWidth="1"/>
    <col min="58" max="58" width="17" style="69" customWidth="1"/>
    <col min="59" max="60" width="16.88671875" style="69" customWidth="1"/>
    <col min="61" max="61" width="16.5546875" style="69" customWidth="1"/>
    <col min="62" max="82" width="6.5546875" customWidth="1"/>
    <col min="83" max="16384" width="9.109375" style="69"/>
  </cols>
  <sheetData>
    <row r="2" spans="1:82" s="68" customFormat="1" ht="14.4">
      <c r="A2" s="70" t="s">
        <v>0</v>
      </c>
      <c r="B2" s="71" t="s">
        <v>15</v>
      </c>
      <c r="C2" s="71" t="s">
        <v>41</v>
      </c>
      <c r="D2" s="71" t="s">
        <v>42</v>
      </c>
      <c r="E2" s="71" t="s">
        <v>43</v>
      </c>
      <c r="F2" s="71" t="s">
        <v>44</v>
      </c>
      <c r="G2" s="71" t="s">
        <v>45</v>
      </c>
      <c r="H2" s="71" t="s">
        <v>46</v>
      </c>
      <c r="I2" s="71" t="s">
        <v>47</v>
      </c>
      <c r="J2" s="71" t="s">
        <v>48</v>
      </c>
      <c r="K2" s="71" t="s">
        <v>49</v>
      </c>
      <c r="L2" s="71" t="s">
        <v>50</v>
      </c>
      <c r="M2" s="71" t="s">
        <v>51</v>
      </c>
      <c r="N2" s="71" t="s">
        <v>20</v>
      </c>
      <c r="O2" s="71" t="s">
        <v>52</v>
      </c>
      <c r="P2" s="71" t="s">
        <v>53</v>
      </c>
      <c r="Q2" s="71" t="s">
        <v>54</v>
      </c>
      <c r="R2" s="71" t="s">
        <v>55</v>
      </c>
      <c r="S2" s="71" t="s">
        <v>56</v>
      </c>
      <c r="T2" s="71" t="s">
        <v>57</v>
      </c>
      <c r="U2" s="71" t="s">
        <v>58</v>
      </c>
      <c r="V2" s="71" t="s">
        <v>59</v>
      </c>
      <c r="W2" s="71" t="s">
        <v>60</v>
      </c>
      <c r="X2" s="71" t="s">
        <v>61</v>
      </c>
      <c r="Y2" s="71" t="s">
        <v>62</v>
      </c>
      <c r="Z2" s="71" t="s">
        <v>63</v>
      </c>
      <c r="AA2" s="71" t="s">
        <v>64</v>
      </c>
      <c r="AB2" s="71" t="s">
        <v>65</v>
      </c>
      <c r="AC2" s="71" t="s">
        <v>66</v>
      </c>
      <c r="AD2" s="71" t="s">
        <v>67</v>
      </c>
      <c r="AE2" s="71" t="s">
        <v>68</v>
      </c>
      <c r="AF2" s="71" t="s">
        <v>69</v>
      </c>
      <c r="AG2" s="71" t="s">
        <v>70</v>
      </c>
      <c r="AH2" s="71" t="s">
        <v>71</v>
      </c>
      <c r="AI2" s="71" t="s">
        <v>72</v>
      </c>
      <c r="AJ2" s="71" t="s">
        <v>73</v>
      </c>
      <c r="AK2" s="71" t="s">
        <v>74</v>
      </c>
      <c r="AL2" s="71" t="s">
        <v>75</v>
      </c>
      <c r="AM2" s="71" t="s">
        <v>76</v>
      </c>
      <c r="AN2" s="71" t="s">
        <v>77</v>
      </c>
      <c r="AO2" s="71" t="s">
        <v>78</v>
      </c>
      <c r="AP2" s="71" t="s">
        <v>79</v>
      </c>
      <c r="AQ2" s="71" t="s">
        <v>80</v>
      </c>
      <c r="AR2" s="71" t="s">
        <v>81</v>
      </c>
      <c r="AS2" s="71" t="s">
        <v>82</v>
      </c>
      <c r="AT2" s="71" t="s">
        <v>83</v>
      </c>
      <c r="AU2" s="71" t="s">
        <v>84</v>
      </c>
      <c r="AV2" s="71" t="s">
        <v>85</v>
      </c>
      <c r="AW2" s="71" t="s">
        <v>86</v>
      </c>
      <c r="AX2" s="71" t="s">
        <v>87</v>
      </c>
      <c r="AY2" s="71" t="s">
        <v>88</v>
      </c>
      <c r="AZ2" s="71" t="s">
        <v>89</v>
      </c>
      <c r="BA2" s="71" t="s">
        <v>90</v>
      </c>
      <c r="BB2" s="71" t="s">
        <v>91</v>
      </c>
      <c r="BC2" s="71" t="s">
        <v>92</v>
      </c>
      <c r="BD2" s="71" t="s">
        <v>93</v>
      </c>
      <c r="BE2" s="71" t="s">
        <v>94</v>
      </c>
      <c r="BF2" s="71" t="s">
        <v>95</v>
      </c>
      <c r="BG2" s="71" t="s">
        <v>96</v>
      </c>
      <c r="BH2" s="71" t="s">
        <v>97</v>
      </c>
      <c r="BI2" s="71" t="s">
        <v>98</v>
      </c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</row>
    <row r="3" spans="1:82">
      <c r="A3" s="72" t="str">
        <f>'Cash Flows'!A3</f>
        <v>Cash Inflows: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  <c r="AS3" s="82"/>
      <c r="AT3" s="82"/>
      <c r="AU3" s="82"/>
      <c r="AV3" s="82"/>
      <c r="AW3" s="82"/>
      <c r="AX3" s="82"/>
      <c r="AY3" s="82"/>
      <c r="AZ3" s="82"/>
      <c r="BA3" s="82"/>
      <c r="BB3" s="82"/>
      <c r="BC3" s="82"/>
      <c r="BD3" s="82"/>
      <c r="BE3" s="82"/>
      <c r="BF3" s="82"/>
      <c r="BG3" s="82"/>
      <c r="BH3" s="82"/>
      <c r="BI3" s="82"/>
    </row>
    <row r="4" spans="1:82">
      <c r="A4" s="74" t="s">
        <v>215</v>
      </c>
      <c r="B4" s="75">
        <f>'AR &amp; AP'!B13</f>
        <v>210000</v>
      </c>
      <c r="C4" s="75">
        <f>'AR &amp; AP'!C13</f>
        <v>216300.00000000006</v>
      </c>
      <c r="D4" s="75">
        <f>'AR &amp; AP'!D13</f>
        <v>275289</v>
      </c>
      <c r="E4" s="75">
        <f>'AR &amp; AP'!E13</f>
        <v>283547.67000000004</v>
      </c>
      <c r="F4" s="75">
        <f>'AR &amp; AP'!F13</f>
        <v>292054.10010000004</v>
      </c>
      <c r="G4" s="75">
        <f>'AR &amp; AP'!G13</f>
        <v>300815.72310300003</v>
      </c>
      <c r="H4" s="75">
        <f>'AR &amp; AP'!H13</f>
        <v>309840.19479609007</v>
      </c>
      <c r="I4" s="75">
        <f>'AR &amp; AP'!I13</f>
        <v>319135.40063997277</v>
      </c>
      <c r="J4" s="75">
        <f>'AR &amp; AP'!J13</f>
        <v>328709.4626591719</v>
      </c>
      <c r="K4" s="75">
        <f>'AR &amp; AP'!K13</f>
        <v>338570.7465389471</v>
      </c>
      <c r="L4" s="75">
        <f>'AR &amp; AP'!L13</f>
        <v>348727.86893511552</v>
      </c>
      <c r="M4" s="75">
        <f>'AR &amp; AP'!M13</f>
        <v>359189.70500316896</v>
      </c>
      <c r="N4" s="75">
        <f>'AR &amp; AP'!N13</f>
        <v>490313.6340529134</v>
      </c>
      <c r="O4" s="75">
        <f>'AR &amp; AP'!O13</f>
        <v>534406.1047641153</v>
      </c>
      <c r="P4" s="75">
        <f>'AR &amp; AP'!P13</f>
        <v>612846.71524052671</v>
      </c>
      <c r="Q4" s="75">
        <f>'AR &amp; AP'!Q13</f>
        <v>674131.38676457934</v>
      </c>
      <c r="R4" s="75">
        <f>'AR &amp; AP'!R13</f>
        <v>741544.52544103737</v>
      </c>
      <c r="S4" s="75">
        <f>'AR &amp; AP'!S13</f>
        <v>815698.97798514133</v>
      </c>
      <c r="T4" s="75">
        <f>'AR &amp; AP'!T13</f>
        <v>897268.87578365533</v>
      </c>
      <c r="U4" s="75">
        <f>'AR &amp; AP'!U13</f>
        <v>986995.76336202095</v>
      </c>
      <c r="V4" s="75">
        <f>'AR &amp; AP'!V13</f>
        <v>1085695.3396982232</v>
      </c>
      <c r="W4" s="75">
        <f>'AR &amp; AP'!W13</f>
        <v>1194264.8736680455</v>
      </c>
      <c r="X4" s="75">
        <f>'AR &amp; AP'!X13</f>
        <v>1313691.3610348501</v>
      </c>
      <c r="Y4" s="75">
        <f>'AR &amp; AP'!Y13</f>
        <v>1445060.4971383354</v>
      </c>
      <c r="Z4" s="75">
        <f>'AR &amp; AP'!Z13</f>
        <v>1529685.6152926693</v>
      </c>
      <c r="AA4" s="75">
        <f>'AR &amp; AP'!AA13</f>
        <v>1619779.1986844619</v>
      </c>
      <c r="AB4" s="75">
        <f>'AR &amp; AP'!AB13</f>
        <v>1700768.1586186849</v>
      </c>
      <c r="AC4" s="75">
        <f>'AR &amp; AP'!AC13</f>
        <v>1785806.5665496192</v>
      </c>
      <c r="AD4" s="75">
        <f>'AR &amp; AP'!AD13</f>
        <v>1875096.8948771004</v>
      </c>
      <c r="AE4" s="75">
        <f>'AR &amp; AP'!AE13</f>
        <v>1968851.7396209552</v>
      </c>
      <c r="AF4" s="75">
        <f>'AR &amp; AP'!AF13</f>
        <v>2067294.3266020035</v>
      </c>
      <c r="AG4" s="75">
        <f>'AR &amp; AP'!AG13</f>
        <v>2170659.0429321034</v>
      </c>
      <c r="AH4" s="75">
        <f>'AR &amp; AP'!AH13</f>
        <v>2279191.995078709</v>
      </c>
      <c r="AI4" s="75">
        <f>'AR &amp; AP'!AI13</f>
        <v>2393151.5948326443</v>
      </c>
      <c r="AJ4" s="75">
        <f>'AR &amp; AP'!AJ13</f>
        <v>2512809.1745742769</v>
      </c>
      <c r="AK4" s="75">
        <f>'AR &amp; AP'!AK13</f>
        <v>2638449.6333029908</v>
      </c>
      <c r="AL4" s="75">
        <f>'AR &amp; AP'!AL13</f>
        <v>2770372.1149681406</v>
      </c>
      <c r="AM4" s="75">
        <f>'AR &amp; AP'!AM13</f>
        <v>2908890.7207165472</v>
      </c>
      <c r="AN4" s="75">
        <f>'AR &amp; AP'!AN13</f>
        <v>3054335.256752375</v>
      </c>
      <c r="AO4" s="75">
        <f>'AR &amp; AP'!AO13</f>
        <v>3207052.0195899936</v>
      </c>
      <c r="AP4" s="75">
        <f>'AR &amp; AP'!AP13</f>
        <v>3367404.6205694936</v>
      </c>
      <c r="AQ4" s="75">
        <f>'AR &amp; AP'!AQ13</f>
        <v>3535774.8515979685</v>
      </c>
      <c r="AR4" s="75">
        <f>'AR &amp; AP'!AR13</f>
        <v>3712563.5941778668</v>
      </c>
      <c r="AS4" s="75">
        <f>'AR &amp; AP'!AS13</f>
        <v>3898191.7738867612</v>
      </c>
      <c r="AT4" s="75">
        <f>'AR &amp; AP'!AT13</f>
        <v>4093101.3625810985</v>
      </c>
      <c r="AU4" s="75">
        <f>'AR &amp; AP'!AU13</f>
        <v>4297756.4307101546</v>
      </c>
      <c r="AV4" s="75">
        <f>'AR &amp; AP'!AV13</f>
        <v>4512644.2522456609</v>
      </c>
      <c r="AW4" s="75">
        <f>'AR &amp; AP'!AW13</f>
        <v>4738276.4648579452</v>
      </c>
      <c r="AX4" s="75">
        <f>'AR &amp; AP'!AX13</f>
        <v>4975190.2881008415</v>
      </c>
      <c r="AY4" s="75">
        <f>'AR &amp; AP'!AY13</f>
        <v>5223949.8025058834</v>
      </c>
      <c r="AZ4" s="75">
        <f>'AR &amp; AP'!AZ13</f>
        <v>5485147.2926311782</v>
      </c>
      <c r="BA4" s="75">
        <f>'AR &amp; AP'!BA13</f>
        <v>5759404.6572627379</v>
      </c>
      <c r="BB4" s="75">
        <f>'AR &amp; AP'!BB13</f>
        <v>6047374.8901258754</v>
      </c>
      <c r="BC4" s="75">
        <f>'AR &amp; AP'!BC13</f>
        <v>6349743.6346321693</v>
      </c>
      <c r="BD4" s="75">
        <f>'AR &amp; AP'!BD13</f>
        <v>6667230.816363778</v>
      </c>
      <c r="BE4" s="75">
        <f>'AR &amp; AP'!BE13</f>
        <v>7000592.3571819672</v>
      </c>
      <c r="BF4" s="75">
        <f>'AR &amp; AP'!BF13</f>
        <v>7350621.9750410654</v>
      </c>
      <c r="BG4" s="75">
        <f>'AR &amp; AP'!BG13</f>
        <v>7718153.0737931188</v>
      </c>
      <c r="BH4" s="75">
        <f>'AR &amp; AP'!BH13</f>
        <v>8104060.7274827752</v>
      </c>
      <c r="BI4" s="75">
        <f>'AR &amp; AP'!BI13</f>
        <v>8509263.7638569158</v>
      </c>
    </row>
    <row r="5" spans="1:82">
      <c r="A5" s="74" t="s">
        <v>216</v>
      </c>
      <c r="B5" s="75">
        <f>'Loan Schedule'!B2+'Use of Proceeds'!B26</f>
        <v>10000000</v>
      </c>
      <c r="C5" s="75">
        <v>0</v>
      </c>
      <c r="D5" s="75">
        <v>0</v>
      </c>
      <c r="E5" s="75">
        <v>0</v>
      </c>
      <c r="F5" s="75">
        <v>0</v>
      </c>
      <c r="G5" s="75">
        <v>0</v>
      </c>
      <c r="H5" s="75">
        <v>0</v>
      </c>
      <c r="I5" s="75">
        <v>0</v>
      </c>
      <c r="J5" s="75">
        <v>0</v>
      </c>
      <c r="K5" s="75">
        <v>0</v>
      </c>
      <c r="L5" s="75">
        <v>0</v>
      </c>
      <c r="M5" s="75">
        <v>0</v>
      </c>
      <c r="N5" s="75">
        <v>0</v>
      </c>
      <c r="O5" s="75">
        <v>0</v>
      </c>
      <c r="P5" s="75">
        <v>0</v>
      </c>
      <c r="Q5" s="75">
        <v>0</v>
      </c>
      <c r="R5" s="75">
        <v>0</v>
      </c>
      <c r="S5" s="75">
        <v>0</v>
      </c>
      <c r="T5" s="75">
        <v>0</v>
      </c>
      <c r="U5" s="75">
        <v>0</v>
      </c>
      <c r="V5" s="75">
        <v>0</v>
      </c>
      <c r="W5" s="75">
        <v>0</v>
      </c>
      <c r="X5" s="75">
        <v>0</v>
      </c>
      <c r="Y5" s="75">
        <v>0</v>
      </c>
      <c r="Z5" s="75">
        <v>0</v>
      </c>
      <c r="AA5" s="75">
        <v>0</v>
      </c>
      <c r="AB5" s="75">
        <v>0</v>
      </c>
      <c r="AC5" s="75">
        <v>0</v>
      </c>
      <c r="AD5" s="75">
        <v>0</v>
      </c>
      <c r="AE5" s="75">
        <v>0</v>
      </c>
      <c r="AF5" s="75">
        <v>0</v>
      </c>
      <c r="AG5" s="75">
        <v>0</v>
      </c>
      <c r="AH5" s="75">
        <v>0</v>
      </c>
      <c r="AI5" s="75">
        <v>0</v>
      </c>
      <c r="AJ5" s="75">
        <v>0</v>
      </c>
      <c r="AK5" s="75">
        <v>0</v>
      </c>
      <c r="AL5" s="75">
        <v>0</v>
      </c>
      <c r="AM5" s="75">
        <v>0</v>
      </c>
      <c r="AN5" s="75">
        <v>0</v>
      </c>
      <c r="AO5" s="75">
        <v>0</v>
      </c>
      <c r="AP5" s="75">
        <v>0</v>
      </c>
      <c r="AQ5" s="75">
        <v>0</v>
      </c>
      <c r="AR5" s="75">
        <v>0</v>
      </c>
      <c r="AS5" s="75">
        <v>0</v>
      </c>
      <c r="AT5" s="75">
        <v>0</v>
      </c>
      <c r="AU5" s="75">
        <v>0</v>
      </c>
      <c r="AV5" s="75">
        <v>0</v>
      </c>
      <c r="AW5" s="75">
        <v>0</v>
      </c>
      <c r="AX5" s="75">
        <v>0</v>
      </c>
      <c r="AY5" s="75">
        <v>0</v>
      </c>
      <c r="AZ5" s="75">
        <v>0</v>
      </c>
      <c r="BA5" s="75">
        <v>0</v>
      </c>
      <c r="BB5" s="75">
        <v>0</v>
      </c>
      <c r="BC5" s="75">
        <v>0</v>
      </c>
      <c r="BD5" s="75">
        <v>0</v>
      </c>
      <c r="BE5" s="75">
        <v>0</v>
      </c>
      <c r="BF5" s="75">
        <v>0</v>
      </c>
      <c r="BG5" s="75">
        <v>0</v>
      </c>
      <c r="BH5" s="75">
        <v>0</v>
      </c>
      <c r="BI5" s="75">
        <v>0</v>
      </c>
    </row>
    <row r="6" spans="1:82">
      <c r="A6" s="72" t="str">
        <f>'Cash Flows'!A6</f>
        <v>Total Inflows</v>
      </c>
      <c r="B6" s="76">
        <f t="shared" ref="B6:AG6" si="0">SUM(B4:B5)</f>
        <v>10210000</v>
      </c>
      <c r="C6" s="76">
        <f t="shared" si="0"/>
        <v>216300.00000000006</v>
      </c>
      <c r="D6" s="76">
        <f t="shared" si="0"/>
        <v>275289</v>
      </c>
      <c r="E6" s="76">
        <f t="shared" si="0"/>
        <v>283547.67000000004</v>
      </c>
      <c r="F6" s="76">
        <f t="shared" si="0"/>
        <v>292054.10010000004</v>
      </c>
      <c r="G6" s="76">
        <f t="shared" si="0"/>
        <v>300815.72310300003</v>
      </c>
      <c r="H6" s="76">
        <f t="shared" si="0"/>
        <v>309840.19479609007</v>
      </c>
      <c r="I6" s="76">
        <f t="shared" si="0"/>
        <v>319135.40063997277</v>
      </c>
      <c r="J6" s="76">
        <f t="shared" si="0"/>
        <v>328709.4626591719</v>
      </c>
      <c r="K6" s="76">
        <f t="shared" si="0"/>
        <v>338570.7465389471</v>
      </c>
      <c r="L6" s="76">
        <f t="shared" si="0"/>
        <v>348727.86893511552</v>
      </c>
      <c r="M6" s="76">
        <f t="shared" si="0"/>
        <v>359189.70500316896</v>
      </c>
      <c r="N6" s="76">
        <f t="shared" si="0"/>
        <v>490313.6340529134</v>
      </c>
      <c r="O6" s="76">
        <f t="shared" si="0"/>
        <v>534406.1047641153</v>
      </c>
      <c r="P6" s="76">
        <f t="shared" si="0"/>
        <v>612846.71524052671</v>
      </c>
      <c r="Q6" s="76">
        <f t="shared" si="0"/>
        <v>674131.38676457934</v>
      </c>
      <c r="R6" s="76">
        <f t="shared" si="0"/>
        <v>741544.52544103737</v>
      </c>
      <c r="S6" s="76">
        <f t="shared" si="0"/>
        <v>815698.97798514133</v>
      </c>
      <c r="T6" s="76">
        <f t="shared" si="0"/>
        <v>897268.87578365533</v>
      </c>
      <c r="U6" s="76">
        <f t="shared" si="0"/>
        <v>986995.76336202095</v>
      </c>
      <c r="V6" s="76">
        <f t="shared" si="0"/>
        <v>1085695.3396982232</v>
      </c>
      <c r="W6" s="76">
        <f t="shared" si="0"/>
        <v>1194264.8736680455</v>
      </c>
      <c r="X6" s="76">
        <f t="shared" si="0"/>
        <v>1313691.3610348501</v>
      </c>
      <c r="Y6" s="76">
        <f t="shared" si="0"/>
        <v>1445060.4971383354</v>
      </c>
      <c r="Z6" s="76">
        <f t="shared" si="0"/>
        <v>1529685.6152926693</v>
      </c>
      <c r="AA6" s="76">
        <f t="shared" si="0"/>
        <v>1619779.1986844619</v>
      </c>
      <c r="AB6" s="76">
        <f t="shared" si="0"/>
        <v>1700768.1586186849</v>
      </c>
      <c r="AC6" s="76">
        <f t="shared" si="0"/>
        <v>1785806.5665496192</v>
      </c>
      <c r="AD6" s="76">
        <f t="shared" si="0"/>
        <v>1875096.8948771004</v>
      </c>
      <c r="AE6" s="76">
        <f t="shared" si="0"/>
        <v>1968851.7396209552</v>
      </c>
      <c r="AF6" s="76">
        <f t="shared" si="0"/>
        <v>2067294.3266020035</v>
      </c>
      <c r="AG6" s="76">
        <f t="shared" si="0"/>
        <v>2170659.0429321034</v>
      </c>
      <c r="AH6" s="76">
        <f t="shared" ref="AH6:BI6" si="1">SUM(AH4:AH5)</f>
        <v>2279191.995078709</v>
      </c>
      <c r="AI6" s="76">
        <f t="shared" si="1"/>
        <v>2393151.5948326443</v>
      </c>
      <c r="AJ6" s="76">
        <f t="shared" si="1"/>
        <v>2512809.1745742769</v>
      </c>
      <c r="AK6" s="76">
        <f t="shared" si="1"/>
        <v>2638449.6333029908</v>
      </c>
      <c r="AL6" s="76">
        <f t="shared" si="1"/>
        <v>2770372.1149681406</v>
      </c>
      <c r="AM6" s="76">
        <f t="shared" si="1"/>
        <v>2908890.7207165472</v>
      </c>
      <c r="AN6" s="76">
        <f t="shared" si="1"/>
        <v>3054335.256752375</v>
      </c>
      <c r="AO6" s="76">
        <f t="shared" si="1"/>
        <v>3207052.0195899936</v>
      </c>
      <c r="AP6" s="76">
        <f t="shared" si="1"/>
        <v>3367404.6205694936</v>
      </c>
      <c r="AQ6" s="76">
        <f t="shared" si="1"/>
        <v>3535774.8515979685</v>
      </c>
      <c r="AR6" s="76">
        <f t="shared" si="1"/>
        <v>3712563.5941778668</v>
      </c>
      <c r="AS6" s="76">
        <f t="shared" si="1"/>
        <v>3898191.7738867612</v>
      </c>
      <c r="AT6" s="76">
        <f t="shared" si="1"/>
        <v>4093101.3625810985</v>
      </c>
      <c r="AU6" s="76">
        <f t="shared" si="1"/>
        <v>4297756.4307101546</v>
      </c>
      <c r="AV6" s="76">
        <f t="shared" si="1"/>
        <v>4512644.2522456609</v>
      </c>
      <c r="AW6" s="76">
        <f t="shared" si="1"/>
        <v>4738276.4648579452</v>
      </c>
      <c r="AX6" s="76">
        <f t="shared" si="1"/>
        <v>4975190.2881008415</v>
      </c>
      <c r="AY6" s="76">
        <f t="shared" si="1"/>
        <v>5223949.8025058834</v>
      </c>
      <c r="AZ6" s="76">
        <f t="shared" si="1"/>
        <v>5485147.2926311782</v>
      </c>
      <c r="BA6" s="76">
        <f t="shared" si="1"/>
        <v>5759404.6572627379</v>
      </c>
      <c r="BB6" s="76">
        <f t="shared" si="1"/>
        <v>6047374.8901258754</v>
      </c>
      <c r="BC6" s="76">
        <f t="shared" si="1"/>
        <v>6349743.6346321693</v>
      </c>
      <c r="BD6" s="76">
        <f t="shared" si="1"/>
        <v>6667230.816363778</v>
      </c>
      <c r="BE6" s="76">
        <f t="shared" si="1"/>
        <v>7000592.3571819672</v>
      </c>
      <c r="BF6" s="76">
        <f t="shared" si="1"/>
        <v>7350621.9750410654</v>
      </c>
      <c r="BG6" s="76">
        <f t="shared" si="1"/>
        <v>7718153.0737931188</v>
      </c>
      <c r="BH6" s="76">
        <f t="shared" si="1"/>
        <v>8104060.7274827752</v>
      </c>
      <c r="BI6" s="76">
        <f t="shared" si="1"/>
        <v>8509263.7638569158</v>
      </c>
    </row>
    <row r="7" spans="1:82">
      <c r="A7" s="72"/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</row>
    <row r="8" spans="1:82">
      <c r="A8" s="72" t="str">
        <f>'Cash Flows'!A8</f>
        <v>Cash Outflows:</v>
      </c>
      <c r="B8" s="75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</row>
    <row r="9" spans="1:82">
      <c r="A9" s="74" t="str">
        <f>'Monthly Income Statement '!A8</f>
        <v>Payroll</v>
      </c>
      <c r="B9" s="77">
        <f>'Monthly Income Statement '!B8</f>
        <v>79252.75</v>
      </c>
      <c r="C9" s="77">
        <f>'Monthly Income Statement '!C8</f>
        <v>79252.75</v>
      </c>
      <c r="D9" s="77">
        <f>'Monthly Income Statement '!D8</f>
        <v>79252.75</v>
      </c>
      <c r="E9" s="77">
        <f>'Monthly Income Statement '!E8</f>
        <v>79252.75</v>
      </c>
      <c r="F9" s="77">
        <f>'Monthly Income Statement '!F8</f>
        <v>79252.75</v>
      </c>
      <c r="G9" s="77">
        <f>'Monthly Income Statement '!G8</f>
        <v>79252.75</v>
      </c>
      <c r="H9" s="77">
        <f>'Monthly Income Statement '!H8</f>
        <v>79252.75</v>
      </c>
      <c r="I9" s="77">
        <f>'Monthly Income Statement '!I8</f>
        <v>79252.75</v>
      </c>
      <c r="J9" s="77">
        <f>'Monthly Income Statement '!J8</f>
        <v>79252.75</v>
      </c>
      <c r="K9" s="77">
        <f>'Monthly Income Statement '!K8</f>
        <v>79252.75</v>
      </c>
      <c r="L9" s="77">
        <f>'Monthly Income Statement '!L8</f>
        <v>79252.75</v>
      </c>
      <c r="M9" s="77">
        <f>'Monthly Income Statement '!M8</f>
        <v>79252.75</v>
      </c>
      <c r="N9" s="77">
        <f>'Monthly Income Statement '!N8</f>
        <v>96325.991666666683</v>
      </c>
      <c r="O9" s="77">
        <f>'Monthly Income Statement '!O8</f>
        <v>87569.083333333343</v>
      </c>
      <c r="P9" s="77">
        <f>'Monthly Income Statement '!P8</f>
        <v>87569.083333333343</v>
      </c>
      <c r="Q9" s="77">
        <f>'Monthly Income Statement '!Q8</f>
        <v>87569.083333333343</v>
      </c>
      <c r="R9" s="77">
        <f>'Monthly Income Statement '!R8</f>
        <v>87569.083333333343</v>
      </c>
      <c r="S9" s="77">
        <f>'Monthly Income Statement '!S8</f>
        <v>87569.083333333343</v>
      </c>
      <c r="T9" s="77">
        <f>'Monthly Income Statement '!T8</f>
        <v>87569.083333333343</v>
      </c>
      <c r="U9" s="77">
        <f>'Monthly Income Statement '!U8</f>
        <v>87569.083333333343</v>
      </c>
      <c r="V9" s="77">
        <f>'Monthly Income Statement '!V8</f>
        <v>87569.083333333343</v>
      </c>
      <c r="W9" s="77">
        <f>'Monthly Income Statement '!W8</f>
        <v>87569.083333333343</v>
      </c>
      <c r="X9" s="77">
        <f>'Monthly Income Statement '!X8</f>
        <v>87569.083333333343</v>
      </c>
      <c r="Y9" s="77">
        <f>'Monthly Income Statement '!Y8</f>
        <v>87569.083333333343</v>
      </c>
      <c r="Z9" s="77">
        <f>'Monthly Income Statement '!Z8</f>
        <v>122273.82750000003</v>
      </c>
      <c r="AA9" s="77">
        <f>'Monthly Income Statement '!AA8</f>
        <v>101052.75</v>
      </c>
      <c r="AB9" s="77">
        <f>'Monthly Income Statement '!AB8</f>
        <v>101052.75</v>
      </c>
      <c r="AC9" s="77">
        <f>'Monthly Income Statement '!AC8</f>
        <v>101052.75</v>
      </c>
      <c r="AD9" s="77">
        <f>'Monthly Income Statement '!AD8</f>
        <v>101052.75</v>
      </c>
      <c r="AE9" s="77">
        <f>'Monthly Income Statement '!AE8</f>
        <v>101052.75</v>
      </c>
      <c r="AF9" s="77">
        <f>'Monthly Income Statement '!AF8</f>
        <v>101052.75</v>
      </c>
      <c r="AG9" s="77">
        <f>'Monthly Income Statement '!AG8</f>
        <v>101052.75</v>
      </c>
      <c r="AH9" s="77">
        <f>'Monthly Income Statement '!AH8</f>
        <v>101052.75</v>
      </c>
      <c r="AI9" s="77">
        <f>'Monthly Income Statement '!AI8</f>
        <v>101052.75</v>
      </c>
      <c r="AJ9" s="77">
        <f>'Monthly Income Statement '!AJ8</f>
        <v>101052.75</v>
      </c>
      <c r="AK9" s="77">
        <f>'Monthly Income Statement '!AK8</f>
        <v>101052.75</v>
      </c>
      <c r="AL9" s="77">
        <f>'Monthly Income Statement '!AL8</f>
        <v>140035.73008333339</v>
      </c>
      <c r="AM9" s="77">
        <f>'Monthly Income Statement '!AM8</f>
        <v>105210.91666666666</v>
      </c>
      <c r="AN9" s="77">
        <f>'Monthly Income Statement '!AN8</f>
        <v>105210.91666666666</v>
      </c>
      <c r="AO9" s="77">
        <f>'Monthly Income Statement '!AO8</f>
        <v>105210.91666666666</v>
      </c>
      <c r="AP9" s="77">
        <f>'Monthly Income Statement '!AP8</f>
        <v>105210.91666666666</v>
      </c>
      <c r="AQ9" s="77">
        <f>'Monthly Income Statement '!AQ8</f>
        <v>105210.91666666666</v>
      </c>
      <c r="AR9" s="77">
        <f>'Monthly Income Statement '!AR8</f>
        <v>105210.91666666666</v>
      </c>
      <c r="AS9" s="77">
        <f>'Monthly Income Statement '!AS8</f>
        <v>105210.91666666666</v>
      </c>
      <c r="AT9" s="77">
        <f>'Monthly Income Statement '!AT8</f>
        <v>105210.91666666666</v>
      </c>
      <c r="AU9" s="77">
        <f>'Monthly Income Statement '!AU8</f>
        <v>105210.91666666666</v>
      </c>
      <c r="AV9" s="77">
        <f>'Monthly Income Statement '!AV8</f>
        <v>105210.91666666666</v>
      </c>
      <c r="AW9" s="77">
        <f>'Monthly Income Statement '!AW8</f>
        <v>105210.91666666666</v>
      </c>
      <c r="AX9" s="77">
        <f>'Monthly Income Statement '!AX8</f>
        <v>160127.27490833341</v>
      </c>
      <c r="AY9" s="77">
        <f>'Monthly Income Statement '!AY8</f>
        <v>109369.08333333333</v>
      </c>
      <c r="AZ9" s="77">
        <f>'Monthly Income Statement '!AZ8</f>
        <v>109369.08333333333</v>
      </c>
      <c r="BA9" s="77">
        <f>'Monthly Income Statement '!BA8</f>
        <v>109369.08333333333</v>
      </c>
      <c r="BB9" s="77">
        <f>'Monthly Income Statement '!BB8</f>
        <v>109369.08333333333</v>
      </c>
      <c r="BC9" s="77">
        <f>'Monthly Income Statement '!BC8</f>
        <v>109369.08333333333</v>
      </c>
      <c r="BD9" s="77">
        <f>'Monthly Income Statement '!BD8</f>
        <v>109369.08333333333</v>
      </c>
      <c r="BE9" s="77">
        <f>'Monthly Income Statement '!BE8</f>
        <v>109369.08333333333</v>
      </c>
      <c r="BF9" s="77">
        <f>'Monthly Income Statement '!BF8</f>
        <v>109369.08333333333</v>
      </c>
      <c r="BG9" s="77">
        <f>'Monthly Income Statement '!BG8</f>
        <v>109369.08333333333</v>
      </c>
      <c r="BH9" s="77">
        <f>'Monthly Income Statement '!BH8</f>
        <v>109369.08333333333</v>
      </c>
      <c r="BI9" s="77">
        <f>'Monthly Income Statement '!BI8</f>
        <v>109369.08333333333</v>
      </c>
    </row>
    <row r="10" spans="1:82">
      <c r="A10" s="74" t="str">
        <f>'Monthly Income Statement '!A9</f>
        <v>Rent &amp; Utilities</v>
      </c>
      <c r="B10" s="77">
        <f>'Monthly Income Statement '!B9</f>
        <v>16000</v>
      </c>
      <c r="C10" s="77">
        <f>'Monthly Income Statement '!C9</f>
        <v>16000</v>
      </c>
      <c r="D10" s="77">
        <f>'Monthly Income Statement '!D9</f>
        <v>16000</v>
      </c>
      <c r="E10" s="77">
        <f>'Monthly Income Statement '!E9</f>
        <v>16000</v>
      </c>
      <c r="F10" s="77">
        <f>'Monthly Income Statement '!F9</f>
        <v>16000</v>
      </c>
      <c r="G10" s="77">
        <f>'Monthly Income Statement '!G9</f>
        <v>16000</v>
      </c>
      <c r="H10" s="77">
        <f>'Monthly Income Statement '!H9</f>
        <v>16000</v>
      </c>
      <c r="I10" s="77">
        <f>'Monthly Income Statement '!I9</f>
        <v>16000</v>
      </c>
      <c r="J10" s="77">
        <f>'Monthly Income Statement '!J9</f>
        <v>16000</v>
      </c>
      <c r="K10" s="77">
        <f>'Monthly Income Statement '!K9</f>
        <v>16000</v>
      </c>
      <c r="L10" s="77">
        <f>'Monthly Income Statement '!L9</f>
        <v>16000</v>
      </c>
      <c r="M10" s="77">
        <f>'Monthly Income Statement '!M9</f>
        <v>16000</v>
      </c>
      <c r="N10" s="77">
        <f>'Monthly Income Statement '!N9</f>
        <v>16480</v>
      </c>
      <c r="O10" s="77">
        <f>'Monthly Income Statement '!O9</f>
        <v>16480</v>
      </c>
      <c r="P10" s="77">
        <f>'Monthly Income Statement '!P9</f>
        <v>16480</v>
      </c>
      <c r="Q10" s="77">
        <f>'Monthly Income Statement '!Q9</f>
        <v>16480</v>
      </c>
      <c r="R10" s="77">
        <f>'Monthly Income Statement '!R9</f>
        <v>16480</v>
      </c>
      <c r="S10" s="77">
        <f>'Monthly Income Statement '!S9</f>
        <v>16480</v>
      </c>
      <c r="T10" s="77">
        <f>'Monthly Income Statement '!T9</f>
        <v>16480</v>
      </c>
      <c r="U10" s="77">
        <f>'Monthly Income Statement '!U9</f>
        <v>16480</v>
      </c>
      <c r="V10" s="77">
        <f>'Monthly Income Statement '!V9</f>
        <v>16480</v>
      </c>
      <c r="W10" s="77">
        <f>'Monthly Income Statement '!W9</f>
        <v>16480</v>
      </c>
      <c r="X10" s="77">
        <f>'Monthly Income Statement '!X9</f>
        <v>16480</v>
      </c>
      <c r="Y10" s="77">
        <f>'Monthly Income Statement '!Y9</f>
        <v>16480</v>
      </c>
      <c r="Z10" s="77">
        <f>'Monthly Income Statement '!Z9</f>
        <v>16974.400000000001</v>
      </c>
      <c r="AA10" s="77">
        <f>'Monthly Income Statement '!AA9</f>
        <v>16974.400000000001</v>
      </c>
      <c r="AB10" s="77">
        <f>'Monthly Income Statement '!AB9</f>
        <v>16974.400000000001</v>
      </c>
      <c r="AC10" s="77">
        <f>'Monthly Income Statement '!AC9</f>
        <v>16974.400000000001</v>
      </c>
      <c r="AD10" s="77">
        <f>'Monthly Income Statement '!AD9</f>
        <v>16974.400000000001</v>
      </c>
      <c r="AE10" s="77">
        <f>'Monthly Income Statement '!AE9</f>
        <v>16974.400000000001</v>
      </c>
      <c r="AF10" s="77">
        <f>'Monthly Income Statement '!AF9</f>
        <v>16974.400000000001</v>
      </c>
      <c r="AG10" s="77">
        <f>'Monthly Income Statement '!AG9</f>
        <v>16974.400000000001</v>
      </c>
      <c r="AH10" s="77">
        <f>'Monthly Income Statement '!AH9</f>
        <v>16974.400000000001</v>
      </c>
      <c r="AI10" s="77">
        <f>'Monthly Income Statement '!AI9</f>
        <v>16974.400000000001</v>
      </c>
      <c r="AJ10" s="77">
        <f>'Monthly Income Statement '!AJ9</f>
        <v>16974.400000000001</v>
      </c>
      <c r="AK10" s="77">
        <f>'Monthly Income Statement '!AK9</f>
        <v>16974.400000000001</v>
      </c>
      <c r="AL10" s="77">
        <f>'Monthly Income Statement '!AL9</f>
        <v>17483.632000000001</v>
      </c>
      <c r="AM10" s="77">
        <f>'Monthly Income Statement '!AM9</f>
        <v>17483.632000000001</v>
      </c>
      <c r="AN10" s="77">
        <f>'Monthly Income Statement '!AN9</f>
        <v>17483.632000000001</v>
      </c>
      <c r="AO10" s="77">
        <f>'Monthly Income Statement '!AO9</f>
        <v>17483.632000000001</v>
      </c>
      <c r="AP10" s="77">
        <f>'Monthly Income Statement '!AP9</f>
        <v>17483.632000000001</v>
      </c>
      <c r="AQ10" s="77">
        <f>'Monthly Income Statement '!AQ9</f>
        <v>17483.632000000001</v>
      </c>
      <c r="AR10" s="77">
        <f>'Monthly Income Statement '!AR9</f>
        <v>17483.632000000001</v>
      </c>
      <c r="AS10" s="77">
        <f>'Monthly Income Statement '!AS9</f>
        <v>17483.632000000001</v>
      </c>
      <c r="AT10" s="77">
        <f>'Monthly Income Statement '!AT9</f>
        <v>17483.632000000001</v>
      </c>
      <c r="AU10" s="77">
        <f>'Monthly Income Statement '!AU9</f>
        <v>17483.632000000001</v>
      </c>
      <c r="AV10" s="77">
        <f>'Monthly Income Statement '!AV9</f>
        <v>17483.632000000001</v>
      </c>
      <c r="AW10" s="77">
        <f>'Monthly Income Statement '!AW9</f>
        <v>17483.632000000001</v>
      </c>
      <c r="AX10" s="77">
        <f>'Monthly Income Statement '!AX9</f>
        <v>18008.140960000001</v>
      </c>
      <c r="AY10" s="77">
        <f>'Monthly Income Statement '!AY9</f>
        <v>18008.140960000001</v>
      </c>
      <c r="AZ10" s="77">
        <f>'Monthly Income Statement '!AZ9</f>
        <v>18008.140960000001</v>
      </c>
      <c r="BA10" s="77">
        <f>'Monthly Income Statement '!BA9</f>
        <v>18008.140960000001</v>
      </c>
      <c r="BB10" s="77">
        <f>'Monthly Income Statement '!BB9</f>
        <v>18008.140960000001</v>
      </c>
      <c r="BC10" s="77">
        <f>'Monthly Income Statement '!BC9</f>
        <v>18008.140960000001</v>
      </c>
      <c r="BD10" s="77">
        <f>'Monthly Income Statement '!BD9</f>
        <v>18008.140960000001</v>
      </c>
      <c r="BE10" s="77">
        <f>'Monthly Income Statement '!BE9</f>
        <v>18008.140960000001</v>
      </c>
      <c r="BF10" s="77">
        <f>'Monthly Income Statement '!BF9</f>
        <v>18008.140960000001</v>
      </c>
      <c r="BG10" s="77">
        <f>'Monthly Income Statement '!BG9</f>
        <v>18008.140960000001</v>
      </c>
      <c r="BH10" s="77">
        <f>'Monthly Income Statement '!BH9</f>
        <v>18008.140960000001</v>
      </c>
      <c r="BI10" s="77">
        <f>'Monthly Income Statement '!BI9</f>
        <v>18008.140960000001</v>
      </c>
    </row>
    <row r="11" spans="1:82">
      <c r="A11" s="74" t="str">
        <f>'Monthly Income Statement '!A10</f>
        <v>Regulatory &amp; Compliance</v>
      </c>
      <c r="B11" s="77">
        <f>'Monthly Income Statement '!B10</f>
        <v>9100</v>
      </c>
      <c r="C11" s="77">
        <f>'Monthly Income Statement '!C10</f>
        <v>9100</v>
      </c>
      <c r="D11" s="77">
        <f>'Monthly Income Statement '!D10</f>
        <v>9100</v>
      </c>
      <c r="E11" s="77">
        <f>'Monthly Income Statement '!E10</f>
        <v>9100</v>
      </c>
      <c r="F11" s="77">
        <f>'Monthly Income Statement '!F10</f>
        <v>9100</v>
      </c>
      <c r="G11" s="77">
        <f>'Monthly Income Statement '!G10</f>
        <v>9100</v>
      </c>
      <c r="H11" s="77">
        <f>'Monthly Income Statement '!H10</f>
        <v>9100</v>
      </c>
      <c r="I11" s="77">
        <f>'Monthly Income Statement '!I10</f>
        <v>9100</v>
      </c>
      <c r="J11" s="77">
        <f>'Monthly Income Statement '!J10</f>
        <v>9100</v>
      </c>
      <c r="K11" s="77">
        <f>'Monthly Income Statement '!K10</f>
        <v>9100</v>
      </c>
      <c r="L11" s="77">
        <f>'Monthly Income Statement '!L10</f>
        <v>9100</v>
      </c>
      <c r="M11" s="77">
        <f>'Monthly Income Statement '!M10</f>
        <v>9100</v>
      </c>
      <c r="N11" s="77">
        <f>'Monthly Income Statement '!N10</f>
        <v>18200</v>
      </c>
      <c r="O11" s="77">
        <f>'Monthly Income Statement '!O10</f>
        <v>18200</v>
      </c>
      <c r="P11" s="77">
        <f>'Monthly Income Statement '!P10</f>
        <v>18200</v>
      </c>
      <c r="Q11" s="77">
        <f>'Monthly Income Statement '!Q10</f>
        <v>18200</v>
      </c>
      <c r="R11" s="77">
        <f>'Monthly Income Statement '!R10</f>
        <v>18200</v>
      </c>
      <c r="S11" s="77">
        <f>'Monthly Income Statement '!S10</f>
        <v>18200</v>
      </c>
      <c r="T11" s="77">
        <f>'Monthly Income Statement '!T10</f>
        <v>18200</v>
      </c>
      <c r="U11" s="77">
        <f>'Monthly Income Statement '!U10</f>
        <v>18200</v>
      </c>
      <c r="V11" s="77">
        <f>'Monthly Income Statement '!V10</f>
        <v>18200</v>
      </c>
      <c r="W11" s="77">
        <f>'Monthly Income Statement '!W10</f>
        <v>18200</v>
      </c>
      <c r="X11" s="77">
        <f>'Monthly Income Statement '!X10</f>
        <v>18200</v>
      </c>
      <c r="Y11" s="77">
        <f>'Monthly Income Statement '!Y10</f>
        <v>18200</v>
      </c>
      <c r="Z11" s="77">
        <f>'Monthly Income Statement '!Z10</f>
        <v>36400</v>
      </c>
      <c r="AA11" s="77">
        <f>'Monthly Income Statement '!AA10</f>
        <v>36400</v>
      </c>
      <c r="AB11" s="77">
        <f>'Monthly Income Statement '!AB10</f>
        <v>36400</v>
      </c>
      <c r="AC11" s="77">
        <f>'Monthly Income Statement '!AC10</f>
        <v>36400</v>
      </c>
      <c r="AD11" s="77">
        <f>'Monthly Income Statement '!AD10</f>
        <v>36400</v>
      </c>
      <c r="AE11" s="77">
        <f>'Monthly Income Statement '!AE10</f>
        <v>36400</v>
      </c>
      <c r="AF11" s="77">
        <f>'Monthly Income Statement '!AF10</f>
        <v>36400</v>
      </c>
      <c r="AG11" s="77">
        <f>'Monthly Income Statement '!AG10</f>
        <v>36400</v>
      </c>
      <c r="AH11" s="77">
        <f>'Monthly Income Statement '!AH10</f>
        <v>36400</v>
      </c>
      <c r="AI11" s="77">
        <f>'Monthly Income Statement '!AI10</f>
        <v>36400</v>
      </c>
      <c r="AJ11" s="77">
        <f>'Monthly Income Statement '!AJ10</f>
        <v>36400</v>
      </c>
      <c r="AK11" s="77">
        <f>'Monthly Income Statement '!AK10</f>
        <v>36400</v>
      </c>
      <c r="AL11" s="77">
        <f>'Monthly Income Statement '!AL10</f>
        <v>72800</v>
      </c>
      <c r="AM11" s="77">
        <f>'Monthly Income Statement '!AM10</f>
        <v>72800</v>
      </c>
      <c r="AN11" s="77">
        <f>'Monthly Income Statement '!AN10</f>
        <v>72800</v>
      </c>
      <c r="AO11" s="77">
        <f>'Monthly Income Statement '!AO10</f>
        <v>72800</v>
      </c>
      <c r="AP11" s="77">
        <f>'Monthly Income Statement '!AP10</f>
        <v>72800</v>
      </c>
      <c r="AQ11" s="77">
        <f>'Monthly Income Statement '!AQ10</f>
        <v>72800</v>
      </c>
      <c r="AR11" s="77">
        <f>'Monthly Income Statement '!AR10</f>
        <v>72800</v>
      </c>
      <c r="AS11" s="77">
        <f>'Monthly Income Statement '!AS10</f>
        <v>72800</v>
      </c>
      <c r="AT11" s="77">
        <f>'Monthly Income Statement '!AT10</f>
        <v>72800</v>
      </c>
      <c r="AU11" s="77">
        <f>'Monthly Income Statement '!AU10</f>
        <v>72800</v>
      </c>
      <c r="AV11" s="77">
        <f>'Monthly Income Statement '!AV10</f>
        <v>72800</v>
      </c>
      <c r="AW11" s="77">
        <f>'Monthly Income Statement '!AW10</f>
        <v>72800</v>
      </c>
      <c r="AX11" s="77">
        <f>'Monthly Income Statement '!AX10</f>
        <v>145600</v>
      </c>
      <c r="AY11" s="77">
        <f>'Monthly Income Statement '!AY10</f>
        <v>145600</v>
      </c>
      <c r="AZ11" s="77">
        <f>'Monthly Income Statement '!AZ10</f>
        <v>145600</v>
      </c>
      <c r="BA11" s="77">
        <f>'Monthly Income Statement '!BA10</f>
        <v>145600</v>
      </c>
      <c r="BB11" s="77">
        <f>'Monthly Income Statement '!BB10</f>
        <v>145600</v>
      </c>
      <c r="BC11" s="77">
        <f>'Monthly Income Statement '!BC10</f>
        <v>145600</v>
      </c>
      <c r="BD11" s="77">
        <f>'Monthly Income Statement '!BD10</f>
        <v>145600</v>
      </c>
      <c r="BE11" s="77">
        <f>'Monthly Income Statement '!BE10</f>
        <v>145600</v>
      </c>
      <c r="BF11" s="77">
        <f>'Monthly Income Statement '!BF10</f>
        <v>145600</v>
      </c>
      <c r="BG11" s="77">
        <f>'Monthly Income Statement '!BG10</f>
        <v>145600</v>
      </c>
      <c r="BH11" s="77">
        <f>'Monthly Income Statement '!BH10</f>
        <v>145600</v>
      </c>
      <c r="BI11" s="77">
        <f>'Monthly Income Statement '!BI10</f>
        <v>145600</v>
      </c>
    </row>
    <row r="12" spans="1:82">
      <c r="A12" s="74" t="str">
        <f>'Monthly Income Statement '!A11</f>
        <v>Maintenance &amp; Equipment Upkeep</v>
      </c>
      <c r="B12" s="77">
        <f>'Monthly Income Statement '!B11</f>
        <v>11500</v>
      </c>
      <c r="C12" s="77">
        <f>'Monthly Income Statement '!C11</f>
        <v>11500</v>
      </c>
      <c r="D12" s="77">
        <f>'Monthly Income Statement '!D11</f>
        <v>11500</v>
      </c>
      <c r="E12" s="77">
        <f>'Monthly Income Statement '!E11</f>
        <v>11500</v>
      </c>
      <c r="F12" s="77">
        <f>'Monthly Income Statement '!F11</f>
        <v>11500</v>
      </c>
      <c r="G12" s="77">
        <f>'Monthly Income Statement '!G11</f>
        <v>11500</v>
      </c>
      <c r="H12" s="77">
        <f>'Monthly Income Statement '!H11</f>
        <v>11500</v>
      </c>
      <c r="I12" s="77">
        <f>'Monthly Income Statement '!I11</f>
        <v>11500</v>
      </c>
      <c r="J12" s="77">
        <f>'Monthly Income Statement '!J11</f>
        <v>11500</v>
      </c>
      <c r="K12" s="77">
        <f>'Monthly Income Statement '!K11</f>
        <v>11500</v>
      </c>
      <c r="L12" s="77">
        <f>'Monthly Income Statement '!L11</f>
        <v>11500</v>
      </c>
      <c r="M12" s="77">
        <f>'Monthly Income Statement '!M11</f>
        <v>11500</v>
      </c>
      <c r="N12" s="77">
        <f>'Monthly Income Statement '!N11</f>
        <v>23000</v>
      </c>
      <c r="O12" s="77">
        <f>'Monthly Income Statement '!O11</f>
        <v>23000</v>
      </c>
      <c r="P12" s="77">
        <f>'Monthly Income Statement '!P11</f>
        <v>23000</v>
      </c>
      <c r="Q12" s="77">
        <f>'Monthly Income Statement '!Q11</f>
        <v>23000</v>
      </c>
      <c r="R12" s="77">
        <f>'Monthly Income Statement '!R11</f>
        <v>23000</v>
      </c>
      <c r="S12" s="77">
        <f>'Monthly Income Statement '!S11</f>
        <v>23000</v>
      </c>
      <c r="T12" s="77">
        <f>'Monthly Income Statement '!T11</f>
        <v>23000</v>
      </c>
      <c r="U12" s="77">
        <f>'Monthly Income Statement '!U11</f>
        <v>23000</v>
      </c>
      <c r="V12" s="77">
        <f>'Monthly Income Statement '!V11</f>
        <v>23000</v>
      </c>
      <c r="W12" s="77">
        <f>'Monthly Income Statement '!W11</f>
        <v>23000</v>
      </c>
      <c r="X12" s="77">
        <f>'Monthly Income Statement '!X11</f>
        <v>23000</v>
      </c>
      <c r="Y12" s="77">
        <f>'Monthly Income Statement '!Y11</f>
        <v>23000</v>
      </c>
      <c r="Z12" s="77">
        <f>'Monthly Income Statement '!Z11</f>
        <v>46000</v>
      </c>
      <c r="AA12" s="77">
        <f>'Monthly Income Statement '!AA11</f>
        <v>46000</v>
      </c>
      <c r="AB12" s="77">
        <f>'Monthly Income Statement '!AB11</f>
        <v>46000</v>
      </c>
      <c r="AC12" s="77">
        <f>'Monthly Income Statement '!AC11</f>
        <v>46000</v>
      </c>
      <c r="AD12" s="77">
        <f>'Monthly Income Statement '!AD11</f>
        <v>46000</v>
      </c>
      <c r="AE12" s="77">
        <f>'Monthly Income Statement '!AE11</f>
        <v>46000</v>
      </c>
      <c r="AF12" s="77">
        <f>'Monthly Income Statement '!AF11</f>
        <v>46000</v>
      </c>
      <c r="AG12" s="77">
        <f>'Monthly Income Statement '!AG11</f>
        <v>46000</v>
      </c>
      <c r="AH12" s="77">
        <f>'Monthly Income Statement '!AH11</f>
        <v>46000</v>
      </c>
      <c r="AI12" s="77">
        <f>'Monthly Income Statement '!AI11</f>
        <v>46000</v>
      </c>
      <c r="AJ12" s="77">
        <f>'Monthly Income Statement '!AJ11</f>
        <v>46000</v>
      </c>
      <c r="AK12" s="77">
        <f>'Monthly Income Statement '!AK11</f>
        <v>46000</v>
      </c>
      <c r="AL12" s="77">
        <f>'Monthly Income Statement '!AL11</f>
        <v>92000</v>
      </c>
      <c r="AM12" s="77">
        <f>'Monthly Income Statement '!AM11</f>
        <v>92000</v>
      </c>
      <c r="AN12" s="77">
        <f>'Monthly Income Statement '!AN11</f>
        <v>92000</v>
      </c>
      <c r="AO12" s="77">
        <f>'Monthly Income Statement '!AO11</f>
        <v>92000</v>
      </c>
      <c r="AP12" s="77">
        <f>'Monthly Income Statement '!AP11</f>
        <v>92000</v>
      </c>
      <c r="AQ12" s="77">
        <f>'Monthly Income Statement '!AQ11</f>
        <v>92000</v>
      </c>
      <c r="AR12" s="77">
        <f>'Monthly Income Statement '!AR11</f>
        <v>92000</v>
      </c>
      <c r="AS12" s="77">
        <f>'Monthly Income Statement '!AS11</f>
        <v>92000</v>
      </c>
      <c r="AT12" s="77">
        <f>'Monthly Income Statement '!AT11</f>
        <v>92000</v>
      </c>
      <c r="AU12" s="77">
        <f>'Monthly Income Statement '!AU11</f>
        <v>92000</v>
      </c>
      <c r="AV12" s="77">
        <f>'Monthly Income Statement '!AV11</f>
        <v>92000</v>
      </c>
      <c r="AW12" s="77">
        <f>'Monthly Income Statement '!AW11</f>
        <v>92000</v>
      </c>
      <c r="AX12" s="77">
        <f>'Monthly Income Statement '!AX11</f>
        <v>184000</v>
      </c>
      <c r="AY12" s="77">
        <f>'Monthly Income Statement '!AY11</f>
        <v>184000</v>
      </c>
      <c r="AZ12" s="77">
        <f>'Monthly Income Statement '!AZ11</f>
        <v>184000</v>
      </c>
      <c r="BA12" s="77">
        <f>'Monthly Income Statement '!BA11</f>
        <v>184000</v>
      </c>
      <c r="BB12" s="77">
        <f>'Monthly Income Statement '!BB11</f>
        <v>184000</v>
      </c>
      <c r="BC12" s="77">
        <f>'Monthly Income Statement '!BC11</f>
        <v>184000</v>
      </c>
      <c r="BD12" s="77">
        <f>'Monthly Income Statement '!BD11</f>
        <v>184000</v>
      </c>
      <c r="BE12" s="77">
        <f>'Monthly Income Statement '!BE11</f>
        <v>184000</v>
      </c>
      <c r="BF12" s="77">
        <f>'Monthly Income Statement '!BF11</f>
        <v>184000</v>
      </c>
      <c r="BG12" s="77">
        <f>'Monthly Income Statement '!BG11</f>
        <v>184000</v>
      </c>
      <c r="BH12" s="77">
        <f>'Monthly Income Statement '!BH11</f>
        <v>184000</v>
      </c>
      <c r="BI12" s="77">
        <f>'Monthly Income Statement '!BI11</f>
        <v>184000</v>
      </c>
    </row>
    <row r="13" spans="1:82">
      <c r="A13" s="74" t="str">
        <f>'Monthly Income Statement '!A12</f>
        <v>Insurance &amp; Security</v>
      </c>
      <c r="B13" s="77">
        <f>'Monthly Income Statement '!B12</f>
        <v>8000</v>
      </c>
      <c r="C13" s="77">
        <f>'Monthly Income Statement '!C12</f>
        <v>8000</v>
      </c>
      <c r="D13" s="77">
        <f>'Monthly Income Statement '!D12</f>
        <v>8000</v>
      </c>
      <c r="E13" s="77">
        <f>'Monthly Income Statement '!E12</f>
        <v>8000</v>
      </c>
      <c r="F13" s="77">
        <f>'Monthly Income Statement '!F12</f>
        <v>8000</v>
      </c>
      <c r="G13" s="77">
        <f>'Monthly Income Statement '!G12</f>
        <v>8000</v>
      </c>
      <c r="H13" s="77">
        <f>'Monthly Income Statement '!H12</f>
        <v>8000</v>
      </c>
      <c r="I13" s="77">
        <f>'Monthly Income Statement '!I12</f>
        <v>8000</v>
      </c>
      <c r="J13" s="77">
        <f>'Monthly Income Statement '!J12</f>
        <v>8000</v>
      </c>
      <c r="K13" s="77">
        <f>'Monthly Income Statement '!K12</f>
        <v>8000</v>
      </c>
      <c r="L13" s="77">
        <f>'Monthly Income Statement '!L12</f>
        <v>8000</v>
      </c>
      <c r="M13" s="77">
        <f>'Monthly Income Statement '!M12</f>
        <v>8000</v>
      </c>
      <c r="N13" s="77">
        <f>'Monthly Income Statement '!N12</f>
        <v>16000</v>
      </c>
      <c r="O13" s="77">
        <f>'Monthly Income Statement '!O12</f>
        <v>16000</v>
      </c>
      <c r="P13" s="77">
        <f>'Monthly Income Statement '!P12</f>
        <v>16000</v>
      </c>
      <c r="Q13" s="77">
        <f>'Monthly Income Statement '!Q12</f>
        <v>16000</v>
      </c>
      <c r="R13" s="77">
        <f>'Monthly Income Statement '!R12</f>
        <v>16000</v>
      </c>
      <c r="S13" s="77">
        <f>'Monthly Income Statement '!S12</f>
        <v>16000</v>
      </c>
      <c r="T13" s="77">
        <f>'Monthly Income Statement '!T12</f>
        <v>16000</v>
      </c>
      <c r="U13" s="77">
        <f>'Monthly Income Statement '!U12</f>
        <v>16000</v>
      </c>
      <c r="V13" s="77">
        <f>'Monthly Income Statement '!V12</f>
        <v>16000</v>
      </c>
      <c r="W13" s="77">
        <f>'Monthly Income Statement '!W12</f>
        <v>16000</v>
      </c>
      <c r="X13" s="77">
        <f>'Monthly Income Statement '!X12</f>
        <v>16000</v>
      </c>
      <c r="Y13" s="77">
        <f>'Monthly Income Statement '!Y12</f>
        <v>16000</v>
      </c>
      <c r="Z13" s="77">
        <f>'Monthly Income Statement '!Z12</f>
        <v>32000</v>
      </c>
      <c r="AA13" s="77">
        <f>'Monthly Income Statement '!AA12</f>
        <v>32000</v>
      </c>
      <c r="AB13" s="77">
        <f>'Monthly Income Statement '!AB12</f>
        <v>32000</v>
      </c>
      <c r="AC13" s="77">
        <f>'Monthly Income Statement '!AC12</f>
        <v>32000</v>
      </c>
      <c r="AD13" s="77">
        <f>'Monthly Income Statement '!AD12</f>
        <v>32000</v>
      </c>
      <c r="AE13" s="77">
        <f>'Monthly Income Statement '!AE12</f>
        <v>32000</v>
      </c>
      <c r="AF13" s="77">
        <f>'Monthly Income Statement '!AF12</f>
        <v>32000</v>
      </c>
      <c r="AG13" s="77">
        <f>'Monthly Income Statement '!AG12</f>
        <v>32000</v>
      </c>
      <c r="AH13" s="77">
        <f>'Monthly Income Statement '!AH12</f>
        <v>32000</v>
      </c>
      <c r="AI13" s="77">
        <f>'Monthly Income Statement '!AI12</f>
        <v>32000</v>
      </c>
      <c r="AJ13" s="77">
        <f>'Monthly Income Statement '!AJ12</f>
        <v>32000</v>
      </c>
      <c r="AK13" s="77">
        <f>'Monthly Income Statement '!AK12</f>
        <v>32000</v>
      </c>
      <c r="AL13" s="77">
        <f>'Monthly Income Statement '!AL12</f>
        <v>64000</v>
      </c>
      <c r="AM13" s="77">
        <f>'Monthly Income Statement '!AM12</f>
        <v>64000</v>
      </c>
      <c r="AN13" s="77">
        <f>'Monthly Income Statement '!AN12</f>
        <v>64000</v>
      </c>
      <c r="AO13" s="77">
        <f>'Monthly Income Statement '!AO12</f>
        <v>64000</v>
      </c>
      <c r="AP13" s="77">
        <f>'Monthly Income Statement '!AP12</f>
        <v>64000</v>
      </c>
      <c r="AQ13" s="77">
        <f>'Monthly Income Statement '!AQ12</f>
        <v>64000</v>
      </c>
      <c r="AR13" s="77">
        <f>'Monthly Income Statement '!AR12</f>
        <v>64000</v>
      </c>
      <c r="AS13" s="77">
        <f>'Monthly Income Statement '!AS12</f>
        <v>64000</v>
      </c>
      <c r="AT13" s="77">
        <f>'Monthly Income Statement '!AT12</f>
        <v>64000</v>
      </c>
      <c r="AU13" s="77">
        <f>'Monthly Income Statement '!AU12</f>
        <v>64000</v>
      </c>
      <c r="AV13" s="77">
        <f>'Monthly Income Statement '!AV12</f>
        <v>64000</v>
      </c>
      <c r="AW13" s="77">
        <f>'Monthly Income Statement '!AW12</f>
        <v>64000</v>
      </c>
      <c r="AX13" s="77">
        <f>'Monthly Income Statement '!AX12</f>
        <v>128000</v>
      </c>
      <c r="AY13" s="77">
        <f>'Monthly Income Statement '!AY12</f>
        <v>128000</v>
      </c>
      <c r="AZ13" s="77">
        <f>'Monthly Income Statement '!AZ12</f>
        <v>128000</v>
      </c>
      <c r="BA13" s="77">
        <f>'Monthly Income Statement '!BA12</f>
        <v>128000</v>
      </c>
      <c r="BB13" s="77">
        <f>'Monthly Income Statement '!BB12</f>
        <v>128000</v>
      </c>
      <c r="BC13" s="77">
        <f>'Monthly Income Statement '!BC12</f>
        <v>128000</v>
      </c>
      <c r="BD13" s="77">
        <f>'Monthly Income Statement '!BD12</f>
        <v>128000</v>
      </c>
      <c r="BE13" s="77">
        <f>'Monthly Income Statement '!BE12</f>
        <v>128000</v>
      </c>
      <c r="BF13" s="77">
        <f>'Monthly Income Statement '!BF12</f>
        <v>128000</v>
      </c>
      <c r="BG13" s="77">
        <f>'Monthly Income Statement '!BG12</f>
        <v>128000</v>
      </c>
      <c r="BH13" s="77">
        <f>'Monthly Income Statement '!BH12</f>
        <v>128000</v>
      </c>
      <c r="BI13" s="77">
        <f>'Monthly Income Statement '!BI12</f>
        <v>128000</v>
      </c>
    </row>
    <row r="14" spans="1:82">
      <c r="A14" s="74" t="str">
        <f>'Monthly Income Statement '!A13</f>
        <v>Marketing &amp; Advertising</v>
      </c>
      <c r="B14" s="77">
        <f>'Monthly Income Statement '!B13</f>
        <v>18375</v>
      </c>
      <c r="C14" s="77">
        <f>'Monthly Income Statement '!C13</f>
        <v>18926.250000000007</v>
      </c>
      <c r="D14" s="77">
        <f>'Monthly Income Statement '!D13</f>
        <v>19494.037500000002</v>
      </c>
      <c r="E14" s="77">
        <f>'Monthly Income Statement '!E13</f>
        <v>20078.858625000004</v>
      </c>
      <c r="F14" s="77">
        <f>'Monthly Income Statement '!F13</f>
        <v>20681.224383750003</v>
      </c>
      <c r="G14" s="77">
        <f>'Monthly Income Statement '!G13</f>
        <v>21301.661115262505</v>
      </c>
      <c r="H14" s="77">
        <f>'Monthly Income Statement '!H13</f>
        <v>21940.710948720382</v>
      </c>
      <c r="I14" s="77">
        <f>'Monthly Income Statement '!I13</f>
        <v>22598.932277181993</v>
      </c>
      <c r="J14" s="77">
        <f>'Monthly Income Statement '!J13</f>
        <v>23276.900245497451</v>
      </c>
      <c r="K14" s="77">
        <f>'Monthly Income Statement '!K13</f>
        <v>23975.207252862376</v>
      </c>
      <c r="L14" s="77">
        <f>'Monthly Income Statement '!L13</f>
        <v>24694.463470448249</v>
      </c>
      <c r="M14" s="77">
        <f>'Monthly Income Statement '!M13</f>
        <v>25435.297374561695</v>
      </c>
      <c r="N14" s="77">
        <f>'Monthly Income Statement '!N13</f>
        <v>36728.827112017869</v>
      </c>
      <c r="O14" s="77">
        <f>'Monthly Income Statement '!O13</f>
        <v>40401.709823219659</v>
      </c>
      <c r="P14" s="77">
        <f>'Monthly Income Statement '!P13</f>
        <v>44441.880805541623</v>
      </c>
      <c r="Q14" s="77">
        <f>'Monthly Income Statement '!Q13</f>
        <v>48886.068886095789</v>
      </c>
      <c r="R14" s="77">
        <f>'Monthly Income Statement '!R13</f>
        <v>53774.675774705371</v>
      </c>
      <c r="S14" s="77">
        <f>'Monthly Income Statement '!S13</f>
        <v>59152.143352175917</v>
      </c>
      <c r="T14" s="77">
        <f>'Monthly Income Statement '!T13</f>
        <v>65067.357687393509</v>
      </c>
      <c r="U14" s="77">
        <f>'Monthly Income Statement '!U13</f>
        <v>71574.093456132861</v>
      </c>
      <c r="V14" s="77">
        <f>'Monthly Income Statement '!V13</f>
        <v>78731.502801746159</v>
      </c>
      <c r="W14" s="77">
        <f>'Monthly Income Statement '!W13</f>
        <v>86604.653081920769</v>
      </c>
      <c r="X14" s="77">
        <f>'Monthly Income Statement '!X13</f>
        <v>95265.118390112868</v>
      </c>
      <c r="Y14" s="77">
        <f>'Monthly Income Statement '!Y13</f>
        <v>104791.63022912416</v>
      </c>
      <c r="Z14" s="77">
        <f>'Monthly Income Statement '!Z13</f>
        <v>110031.21174058034</v>
      </c>
      <c r="AA14" s="77">
        <f>'Monthly Income Statement '!AA13</f>
        <v>115532.77232760939</v>
      </c>
      <c r="AB14" s="77">
        <f>'Monthly Income Statement '!AB13</f>
        <v>121309.41094398986</v>
      </c>
      <c r="AC14" s="77">
        <f>'Monthly Income Statement '!AC13</f>
        <v>127374.88149118934</v>
      </c>
      <c r="AD14" s="77">
        <f>'Monthly Income Statement '!AD13</f>
        <v>133743.62556574881</v>
      </c>
      <c r="AE14" s="77">
        <f>'Monthly Income Statement '!AE13</f>
        <v>140430.80684403627</v>
      </c>
      <c r="AF14" s="77">
        <f>'Monthly Income Statement '!AF13</f>
        <v>147452.3471862381</v>
      </c>
      <c r="AG14" s="77">
        <f>'Monthly Income Statement '!AG13</f>
        <v>154824.96454555</v>
      </c>
      <c r="AH14" s="77">
        <f>'Monthly Income Statement '!AH13</f>
        <v>162566.21277282754</v>
      </c>
      <c r="AI14" s="77">
        <f>'Monthly Income Statement '!AI13</f>
        <v>170694.52341146889</v>
      </c>
      <c r="AJ14" s="77">
        <f>'Monthly Income Statement '!AJ13</f>
        <v>179229.24958204236</v>
      </c>
      <c r="AK14" s="77">
        <f>'Monthly Income Statement '!AK13</f>
        <v>188190.7120611445</v>
      </c>
      <c r="AL14" s="77">
        <f>'Monthly Income Statement '!AL13</f>
        <v>197600.24766420171</v>
      </c>
      <c r="AM14" s="77">
        <f>'Monthly Income Statement '!AM13</f>
        <v>207480.26004741181</v>
      </c>
      <c r="AN14" s="77">
        <f>'Monthly Income Statement '!AN13</f>
        <v>217854.27304978241</v>
      </c>
      <c r="AO14" s="77">
        <f>'Monthly Income Statement '!AO13</f>
        <v>228746.9867022715</v>
      </c>
      <c r="AP14" s="77">
        <f>'Monthly Income Statement '!AP13</f>
        <v>240184.33603738513</v>
      </c>
      <c r="AQ14" s="77">
        <f>'Monthly Income Statement '!AQ13</f>
        <v>252193.55283925441</v>
      </c>
      <c r="AR14" s="77">
        <f>'Monthly Income Statement '!AR13</f>
        <v>264803.23048121709</v>
      </c>
      <c r="AS14" s="77">
        <f>'Monthly Income Statement '!AS13</f>
        <v>278043.39200527797</v>
      </c>
      <c r="AT14" s="77">
        <f>'Monthly Income Statement '!AT13</f>
        <v>291945.56160554185</v>
      </c>
      <c r="AU14" s="77">
        <f>'Monthly Income Statement '!AU13</f>
        <v>306542.83968581905</v>
      </c>
      <c r="AV14" s="77">
        <f>'Monthly Income Statement '!AV13</f>
        <v>321869.9816701099</v>
      </c>
      <c r="AW14" s="77">
        <f>'Monthly Income Statement '!AW13</f>
        <v>337963.48075361544</v>
      </c>
      <c r="AX14" s="77">
        <f>'Monthly Income Statement '!AX13</f>
        <v>354861.65479129617</v>
      </c>
      <c r="AY14" s="77">
        <f>'Monthly Income Statement '!AY13</f>
        <v>372604.73753086099</v>
      </c>
      <c r="AZ14" s="77">
        <f>'Monthly Income Statement '!AZ13</f>
        <v>391234.97440740414</v>
      </c>
      <c r="BA14" s="77">
        <f>'Monthly Income Statement '!BA13</f>
        <v>410796.72312777437</v>
      </c>
      <c r="BB14" s="77">
        <f>'Monthly Income Statement '!BB13</f>
        <v>431336.55928416312</v>
      </c>
      <c r="BC14" s="77">
        <f>'Monthly Income Statement '!BC13</f>
        <v>452903.38724837126</v>
      </c>
      <c r="BD14" s="77">
        <f>'Monthly Income Statement '!BD13</f>
        <v>475548.55661078985</v>
      </c>
      <c r="BE14" s="77">
        <f>'Monthly Income Statement '!BE13</f>
        <v>499325.98444132938</v>
      </c>
      <c r="BF14" s="77">
        <f>'Monthly Income Statement '!BF13</f>
        <v>524292.28366339579</v>
      </c>
      <c r="BG14" s="77">
        <f>'Monthly Income Statement '!BG13</f>
        <v>550506.89784656558</v>
      </c>
      <c r="BH14" s="77">
        <f>'Monthly Income Statement '!BH13</f>
        <v>578032.24273889395</v>
      </c>
      <c r="BI14" s="77">
        <f>'Monthly Income Statement '!BI13</f>
        <v>606933.85487583873</v>
      </c>
    </row>
    <row r="15" spans="1:82">
      <c r="A15" s="74" t="str">
        <f>'Monthly Income Statement '!A14</f>
        <v>R&amp;D &amp; Prototyping</v>
      </c>
      <c r="B15" s="77">
        <f>'Monthly Income Statement '!B14</f>
        <v>5500</v>
      </c>
      <c r="C15" s="77">
        <f>'Monthly Income Statement '!C14</f>
        <v>5500</v>
      </c>
      <c r="D15" s="77">
        <f>'Monthly Income Statement '!D14</f>
        <v>5500</v>
      </c>
      <c r="E15" s="77">
        <f>'Monthly Income Statement '!E14</f>
        <v>5500</v>
      </c>
      <c r="F15" s="77">
        <f>'Monthly Income Statement '!F14</f>
        <v>5500</v>
      </c>
      <c r="G15" s="77">
        <f>'Monthly Income Statement '!G14</f>
        <v>5500</v>
      </c>
      <c r="H15" s="77">
        <f>'Monthly Income Statement '!H14</f>
        <v>5500</v>
      </c>
      <c r="I15" s="77">
        <f>'Monthly Income Statement '!I14</f>
        <v>5500</v>
      </c>
      <c r="J15" s="77">
        <f>'Monthly Income Statement '!J14</f>
        <v>5500</v>
      </c>
      <c r="K15" s="77">
        <f>'Monthly Income Statement '!K14</f>
        <v>5500</v>
      </c>
      <c r="L15" s="77">
        <f>'Monthly Income Statement '!L14</f>
        <v>5500</v>
      </c>
      <c r="M15" s="77">
        <f>'Monthly Income Statement '!M14</f>
        <v>5500</v>
      </c>
      <c r="N15" s="77">
        <f>'Monthly Income Statement '!N14</f>
        <v>11000</v>
      </c>
      <c r="O15" s="77">
        <f>'Monthly Income Statement '!O14</f>
        <v>11000</v>
      </c>
      <c r="P15" s="77">
        <f>'Monthly Income Statement '!P14</f>
        <v>11000</v>
      </c>
      <c r="Q15" s="77">
        <f>'Monthly Income Statement '!Q14</f>
        <v>11000</v>
      </c>
      <c r="R15" s="77">
        <f>'Monthly Income Statement '!R14</f>
        <v>11000</v>
      </c>
      <c r="S15" s="77">
        <f>'Monthly Income Statement '!S14</f>
        <v>11000</v>
      </c>
      <c r="T15" s="77">
        <f>'Monthly Income Statement '!T14</f>
        <v>11000</v>
      </c>
      <c r="U15" s="77">
        <f>'Monthly Income Statement '!U14</f>
        <v>11000</v>
      </c>
      <c r="V15" s="77">
        <f>'Monthly Income Statement '!V14</f>
        <v>11000</v>
      </c>
      <c r="W15" s="77">
        <f>'Monthly Income Statement '!W14</f>
        <v>11000</v>
      </c>
      <c r="X15" s="77">
        <f>'Monthly Income Statement '!X14</f>
        <v>11000</v>
      </c>
      <c r="Y15" s="77">
        <f>'Monthly Income Statement '!Y14</f>
        <v>11000</v>
      </c>
      <c r="Z15" s="77">
        <f>'Monthly Income Statement '!Z14</f>
        <v>22000</v>
      </c>
      <c r="AA15" s="77">
        <f>'Monthly Income Statement '!AA14</f>
        <v>22000</v>
      </c>
      <c r="AB15" s="77">
        <f>'Monthly Income Statement '!AB14</f>
        <v>22000</v>
      </c>
      <c r="AC15" s="77">
        <f>'Monthly Income Statement '!AC14</f>
        <v>22000</v>
      </c>
      <c r="AD15" s="77">
        <f>'Monthly Income Statement '!AD14</f>
        <v>22000</v>
      </c>
      <c r="AE15" s="77">
        <f>'Monthly Income Statement '!AE14</f>
        <v>22000</v>
      </c>
      <c r="AF15" s="77">
        <f>'Monthly Income Statement '!AF14</f>
        <v>22000</v>
      </c>
      <c r="AG15" s="77">
        <f>'Monthly Income Statement '!AG14</f>
        <v>22000</v>
      </c>
      <c r="AH15" s="77">
        <f>'Monthly Income Statement '!AH14</f>
        <v>22000</v>
      </c>
      <c r="AI15" s="77">
        <f>'Monthly Income Statement '!AI14</f>
        <v>22000</v>
      </c>
      <c r="AJ15" s="77">
        <f>'Monthly Income Statement '!AJ14</f>
        <v>22000</v>
      </c>
      <c r="AK15" s="77">
        <f>'Monthly Income Statement '!AK14</f>
        <v>22000</v>
      </c>
      <c r="AL15" s="77">
        <f>'Monthly Income Statement '!AL14</f>
        <v>44000</v>
      </c>
      <c r="AM15" s="77">
        <f>'Monthly Income Statement '!AM14</f>
        <v>44000</v>
      </c>
      <c r="AN15" s="77">
        <f>'Monthly Income Statement '!AN14</f>
        <v>44000</v>
      </c>
      <c r="AO15" s="77">
        <f>'Monthly Income Statement '!AO14</f>
        <v>44000</v>
      </c>
      <c r="AP15" s="77">
        <f>'Monthly Income Statement '!AP14</f>
        <v>44000</v>
      </c>
      <c r="AQ15" s="77">
        <f>'Monthly Income Statement '!AQ14</f>
        <v>44000</v>
      </c>
      <c r="AR15" s="77">
        <f>'Monthly Income Statement '!AR14</f>
        <v>44000</v>
      </c>
      <c r="AS15" s="77">
        <f>'Monthly Income Statement '!AS14</f>
        <v>44000</v>
      </c>
      <c r="AT15" s="77">
        <f>'Monthly Income Statement '!AT14</f>
        <v>44000</v>
      </c>
      <c r="AU15" s="77">
        <f>'Monthly Income Statement '!AU14</f>
        <v>44000</v>
      </c>
      <c r="AV15" s="77">
        <f>'Monthly Income Statement '!AV14</f>
        <v>44000</v>
      </c>
      <c r="AW15" s="77">
        <f>'Monthly Income Statement '!AW14</f>
        <v>44000</v>
      </c>
      <c r="AX15" s="77">
        <f>'Monthly Income Statement '!AX14</f>
        <v>88000</v>
      </c>
      <c r="AY15" s="77">
        <f>'Monthly Income Statement '!AY14</f>
        <v>88000</v>
      </c>
      <c r="AZ15" s="77">
        <f>'Monthly Income Statement '!AZ14</f>
        <v>88000</v>
      </c>
      <c r="BA15" s="77">
        <f>'Monthly Income Statement '!BA14</f>
        <v>88000</v>
      </c>
      <c r="BB15" s="77">
        <f>'Monthly Income Statement '!BB14</f>
        <v>88000</v>
      </c>
      <c r="BC15" s="77">
        <f>'Monthly Income Statement '!BC14</f>
        <v>88000</v>
      </c>
      <c r="BD15" s="77">
        <f>'Monthly Income Statement '!BD14</f>
        <v>88000</v>
      </c>
      <c r="BE15" s="77">
        <f>'Monthly Income Statement '!BE14</f>
        <v>88000</v>
      </c>
      <c r="BF15" s="77">
        <f>'Monthly Income Statement '!BF14</f>
        <v>88000</v>
      </c>
      <c r="BG15" s="77">
        <f>'Monthly Income Statement '!BG14</f>
        <v>88000</v>
      </c>
      <c r="BH15" s="77">
        <f>'Monthly Income Statement '!BH14</f>
        <v>88000</v>
      </c>
      <c r="BI15" s="77">
        <f>'Monthly Income Statement '!BI14</f>
        <v>88000</v>
      </c>
    </row>
    <row r="16" spans="1:82">
      <c r="A16" s="74" t="str">
        <f>'Monthly Income Statement '!A15</f>
        <v>Miscellaneous Expenses</v>
      </c>
      <c r="B16" s="77">
        <f>'Monthly Income Statement '!B15</f>
        <v>1500</v>
      </c>
      <c r="C16" s="77">
        <f>'Monthly Income Statement '!C15</f>
        <v>1500</v>
      </c>
      <c r="D16" s="77">
        <f>'Monthly Income Statement '!D15</f>
        <v>1500</v>
      </c>
      <c r="E16" s="77">
        <f>'Monthly Income Statement '!E15</f>
        <v>1500</v>
      </c>
      <c r="F16" s="77">
        <f>'Monthly Income Statement '!F15</f>
        <v>1500</v>
      </c>
      <c r="G16" s="77">
        <f>'Monthly Income Statement '!G15</f>
        <v>1500</v>
      </c>
      <c r="H16" s="77">
        <f>'Monthly Income Statement '!H15</f>
        <v>1500</v>
      </c>
      <c r="I16" s="77">
        <f>'Monthly Income Statement '!I15</f>
        <v>1500</v>
      </c>
      <c r="J16" s="77">
        <f>'Monthly Income Statement '!J15</f>
        <v>1500</v>
      </c>
      <c r="K16" s="77">
        <f>'Monthly Income Statement '!K15</f>
        <v>1500</v>
      </c>
      <c r="L16" s="77">
        <f>'Monthly Income Statement '!L15</f>
        <v>1500</v>
      </c>
      <c r="M16" s="77">
        <f>'Monthly Income Statement '!M15</f>
        <v>1500</v>
      </c>
      <c r="N16" s="77">
        <f>'Monthly Income Statement '!N15</f>
        <v>3000</v>
      </c>
      <c r="O16" s="77">
        <f>'Monthly Income Statement '!O15</f>
        <v>3000</v>
      </c>
      <c r="P16" s="77">
        <f>'Monthly Income Statement '!P15</f>
        <v>3000</v>
      </c>
      <c r="Q16" s="77">
        <f>'Monthly Income Statement '!Q15</f>
        <v>3000</v>
      </c>
      <c r="R16" s="77">
        <f>'Monthly Income Statement '!R15</f>
        <v>3000</v>
      </c>
      <c r="S16" s="77">
        <f>'Monthly Income Statement '!S15</f>
        <v>3000</v>
      </c>
      <c r="T16" s="77">
        <f>'Monthly Income Statement '!T15</f>
        <v>3000</v>
      </c>
      <c r="U16" s="77">
        <f>'Monthly Income Statement '!U15</f>
        <v>3000</v>
      </c>
      <c r="V16" s="77">
        <f>'Monthly Income Statement '!V15</f>
        <v>3000</v>
      </c>
      <c r="W16" s="77">
        <f>'Monthly Income Statement '!W15</f>
        <v>3000</v>
      </c>
      <c r="X16" s="77">
        <f>'Monthly Income Statement '!X15</f>
        <v>3000</v>
      </c>
      <c r="Y16" s="77">
        <f>'Monthly Income Statement '!Y15</f>
        <v>3000</v>
      </c>
      <c r="Z16" s="77">
        <f>'Monthly Income Statement '!Z15</f>
        <v>6000</v>
      </c>
      <c r="AA16" s="77">
        <f>'Monthly Income Statement '!AA15</f>
        <v>6000</v>
      </c>
      <c r="AB16" s="77">
        <f>'Monthly Income Statement '!AB15</f>
        <v>6000</v>
      </c>
      <c r="AC16" s="77">
        <f>'Monthly Income Statement '!AC15</f>
        <v>6000</v>
      </c>
      <c r="AD16" s="77">
        <f>'Monthly Income Statement '!AD15</f>
        <v>6000</v>
      </c>
      <c r="AE16" s="77">
        <f>'Monthly Income Statement '!AE15</f>
        <v>6000</v>
      </c>
      <c r="AF16" s="77">
        <f>'Monthly Income Statement '!AF15</f>
        <v>6000</v>
      </c>
      <c r="AG16" s="77">
        <f>'Monthly Income Statement '!AG15</f>
        <v>6000</v>
      </c>
      <c r="AH16" s="77">
        <f>'Monthly Income Statement '!AH15</f>
        <v>6000</v>
      </c>
      <c r="AI16" s="77">
        <f>'Monthly Income Statement '!AI15</f>
        <v>6000</v>
      </c>
      <c r="AJ16" s="77">
        <f>'Monthly Income Statement '!AJ15</f>
        <v>6000</v>
      </c>
      <c r="AK16" s="77">
        <f>'Monthly Income Statement '!AK15</f>
        <v>6000</v>
      </c>
      <c r="AL16" s="77">
        <f>'Monthly Income Statement '!AL15</f>
        <v>12000</v>
      </c>
      <c r="AM16" s="77">
        <f>'Monthly Income Statement '!AM15</f>
        <v>12000</v>
      </c>
      <c r="AN16" s="77">
        <f>'Monthly Income Statement '!AN15</f>
        <v>12000</v>
      </c>
      <c r="AO16" s="77">
        <f>'Monthly Income Statement '!AO15</f>
        <v>12000</v>
      </c>
      <c r="AP16" s="77">
        <f>'Monthly Income Statement '!AP15</f>
        <v>12000</v>
      </c>
      <c r="AQ16" s="77">
        <f>'Monthly Income Statement '!AQ15</f>
        <v>12000</v>
      </c>
      <c r="AR16" s="77">
        <f>'Monthly Income Statement '!AR15</f>
        <v>12000</v>
      </c>
      <c r="AS16" s="77">
        <f>'Monthly Income Statement '!AS15</f>
        <v>12000</v>
      </c>
      <c r="AT16" s="77">
        <f>'Monthly Income Statement '!AT15</f>
        <v>12000</v>
      </c>
      <c r="AU16" s="77">
        <f>'Monthly Income Statement '!AU15</f>
        <v>12000</v>
      </c>
      <c r="AV16" s="77">
        <f>'Monthly Income Statement '!AV15</f>
        <v>12000</v>
      </c>
      <c r="AW16" s="77">
        <f>'Monthly Income Statement '!AW15</f>
        <v>12000</v>
      </c>
      <c r="AX16" s="77">
        <f>'Monthly Income Statement '!AX15</f>
        <v>24000</v>
      </c>
      <c r="AY16" s="77">
        <f>'Monthly Income Statement '!AY15</f>
        <v>24000</v>
      </c>
      <c r="AZ16" s="77">
        <f>'Monthly Income Statement '!AZ15</f>
        <v>24000</v>
      </c>
      <c r="BA16" s="77">
        <f>'Monthly Income Statement '!BA15</f>
        <v>24000</v>
      </c>
      <c r="BB16" s="77">
        <f>'Monthly Income Statement '!BB15</f>
        <v>24000</v>
      </c>
      <c r="BC16" s="77">
        <f>'Monthly Income Statement '!BC15</f>
        <v>24000</v>
      </c>
      <c r="BD16" s="77">
        <f>'Monthly Income Statement '!BD15</f>
        <v>24000</v>
      </c>
      <c r="BE16" s="77">
        <f>'Monthly Income Statement '!BE15</f>
        <v>24000</v>
      </c>
      <c r="BF16" s="77">
        <f>'Monthly Income Statement '!BF15</f>
        <v>24000</v>
      </c>
      <c r="BG16" s="77">
        <f>'Monthly Income Statement '!BG15</f>
        <v>24000</v>
      </c>
      <c r="BH16" s="77">
        <f>'Monthly Income Statement '!BH15</f>
        <v>24000</v>
      </c>
      <c r="BI16" s="77">
        <f>'Monthly Income Statement '!BI15</f>
        <v>24000</v>
      </c>
    </row>
    <row r="17" spans="1:61">
      <c r="A17" s="74" t="str">
        <f>'Monthly Income Statement '!A29</f>
        <v>Tax</v>
      </c>
      <c r="B17" s="77">
        <f>'Monthly Income Statement '!B29</f>
        <v>9301.4539789926948</v>
      </c>
      <c r="C17" s="77">
        <f>'Monthly Income Statement '!C29</f>
        <v>9301.4539789926948</v>
      </c>
      <c r="D17" s="77">
        <f>'Monthly Income Statement '!D29</f>
        <v>9301.4539789926948</v>
      </c>
      <c r="E17" s="77">
        <f>'Monthly Income Statement '!E29</f>
        <v>9301.4539789926948</v>
      </c>
      <c r="F17" s="77">
        <f>'Monthly Income Statement '!F29</f>
        <v>9301.4539789926948</v>
      </c>
      <c r="G17" s="77">
        <f>'Monthly Income Statement '!G29</f>
        <v>9301.4539789926948</v>
      </c>
      <c r="H17" s="77">
        <f>'Monthly Income Statement '!H29</f>
        <v>9301.4539789926948</v>
      </c>
      <c r="I17" s="77">
        <f>'Monthly Income Statement '!I29</f>
        <v>9301.4539789926948</v>
      </c>
      <c r="J17" s="77">
        <f>'Monthly Income Statement '!J29</f>
        <v>9301.4539789926948</v>
      </c>
      <c r="K17" s="77">
        <f>'Monthly Income Statement '!K29</f>
        <v>9301.4539789926948</v>
      </c>
      <c r="L17" s="77">
        <f>'Monthly Income Statement '!L29</f>
        <v>9301.4539789926948</v>
      </c>
      <c r="M17" s="77">
        <f>'Monthly Income Statement '!M29</f>
        <v>9301.4539789926948</v>
      </c>
      <c r="N17" s="77">
        <f>'Monthly Income Statement '!N29</f>
        <v>69165.521666040251</v>
      </c>
      <c r="O17" s="77">
        <f>'Monthly Income Statement '!O29</f>
        <v>69165.521666040251</v>
      </c>
      <c r="P17" s="77">
        <f>'Monthly Income Statement '!P29</f>
        <v>69165.521666040251</v>
      </c>
      <c r="Q17" s="77">
        <f>'Monthly Income Statement '!Q29</f>
        <v>69165.521666040251</v>
      </c>
      <c r="R17" s="77">
        <f>'Monthly Income Statement '!R29</f>
        <v>69165.521666040251</v>
      </c>
      <c r="S17" s="77">
        <f>'Monthly Income Statement '!S29</f>
        <v>69165.521666040251</v>
      </c>
      <c r="T17" s="77">
        <f>'Monthly Income Statement '!T29</f>
        <v>69165.521666040251</v>
      </c>
      <c r="U17" s="77">
        <f>'Monthly Income Statement '!U29</f>
        <v>69165.521666040251</v>
      </c>
      <c r="V17" s="77">
        <f>'Monthly Income Statement '!V29</f>
        <v>69165.521666040251</v>
      </c>
      <c r="W17" s="77">
        <f>'Monthly Income Statement '!W29</f>
        <v>69165.521666040251</v>
      </c>
      <c r="X17" s="77">
        <f>'Monthly Income Statement '!X29</f>
        <v>69165.521666040251</v>
      </c>
      <c r="Y17" s="77">
        <f>'Monthly Income Statement '!Y29</f>
        <v>69165.521666040251</v>
      </c>
      <c r="Z17" s="77">
        <f>'Monthly Income Statement '!Z29</f>
        <v>184447.99779103571</v>
      </c>
      <c r="AA17" s="77">
        <f>'Monthly Income Statement '!AA29</f>
        <v>184447.99779103571</v>
      </c>
      <c r="AB17" s="77">
        <f>'Monthly Income Statement '!AB29</f>
        <v>184447.99779103571</v>
      </c>
      <c r="AC17" s="77">
        <f>'Monthly Income Statement '!AC29</f>
        <v>184447.99779103571</v>
      </c>
      <c r="AD17" s="77">
        <f>'Monthly Income Statement '!AD29</f>
        <v>184447.99779103571</v>
      </c>
      <c r="AE17" s="77">
        <f>'Monthly Income Statement '!AE29</f>
        <v>184447.99779103571</v>
      </c>
      <c r="AF17" s="77">
        <f>'Monthly Income Statement '!AF29</f>
        <v>184447.99779103571</v>
      </c>
      <c r="AG17" s="77">
        <f>'Monthly Income Statement '!AG29</f>
        <v>184447.99779103571</v>
      </c>
      <c r="AH17" s="77">
        <f>'Monthly Income Statement '!AH29</f>
        <v>184447.99779103571</v>
      </c>
      <c r="AI17" s="77">
        <f>'Monthly Income Statement '!AI29</f>
        <v>184447.99779103571</v>
      </c>
      <c r="AJ17" s="77">
        <f>'Monthly Income Statement '!AJ29</f>
        <v>184447.99779103571</v>
      </c>
      <c r="AK17" s="77">
        <f>'Monthly Income Statement '!AK29</f>
        <v>184447.99779103571</v>
      </c>
      <c r="AL17" s="77">
        <f>'Monthly Income Statement '!AL29</f>
        <v>345799.90505884605</v>
      </c>
      <c r="AM17" s="77">
        <f>'Monthly Income Statement '!AM29</f>
        <v>345799.90505884605</v>
      </c>
      <c r="AN17" s="77">
        <f>'Monthly Income Statement '!AN29</f>
        <v>345799.90505884605</v>
      </c>
      <c r="AO17" s="77">
        <f>'Monthly Income Statement '!AO29</f>
        <v>345799.90505884605</v>
      </c>
      <c r="AP17" s="77">
        <f>'Monthly Income Statement '!AP29</f>
        <v>345799.90505884605</v>
      </c>
      <c r="AQ17" s="77">
        <f>'Monthly Income Statement '!AQ29</f>
        <v>345799.90505884605</v>
      </c>
      <c r="AR17" s="77">
        <f>'Monthly Income Statement '!AR29</f>
        <v>345799.90505884605</v>
      </c>
      <c r="AS17" s="77">
        <f>'Monthly Income Statement '!AS29</f>
        <v>345799.90505884605</v>
      </c>
      <c r="AT17" s="77">
        <f>'Monthly Income Statement '!AT29</f>
        <v>345799.90505884605</v>
      </c>
      <c r="AU17" s="77">
        <f>'Monthly Income Statement '!AU29</f>
        <v>345799.90505884605</v>
      </c>
      <c r="AV17" s="77">
        <f>'Monthly Income Statement '!AV29</f>
        <v>345799.90505884605</v>
      </c>
      <c r="AW17" s="77">
        <f>'Monthly Income Statement '!AW29</f>
        <v>345799.90505884605</v>
      </c>
      <c r="AX17" s="77">
        <f>'Monthly Income Statement '!AX29</f>
        <v>630385.58649007115</v>
      </c>
      <c r="AY17" s="77">
        <f>'Monthly Income Statement '!AY29</f>
        <v>630385.58649007115</v>
      </c>
      <c r="AZ17" s="77">
        <f>'Monthly Income Statement '!AZ29</f>
        <v>630385.58649007115</v>
      </c>
      <c r="BA17" s="77">
        <f>'Monthly Income Statement '!BA29</f>
        <v>630385.58649007115</v>
      </c>
      <c r="BB17" s="77">
        <f>'Monthly Income Statement '!BB29</f>
        <v>630385.58649007115</v>
      </c>
      <c r="BC17" s="77">
        <f>'Monthly Income Statement '!BC29</f>
        <v>630385.58649007115</v>
      </c>
      <c r="BD17" s="77">
        <f>'Monthly Income Statement '!BD29</f>
        <v>630385.58649007115</v>
      </c>
      <c r="BE17" s="77">
        <f>'Monthly Income Statement '!BE29</f>
        <v>630385.58649007115</v>
      </c>
      <c r="BF17" s="77">
        <f>'Monthly Income Statement '!BF29</f>
        <v>630385.58649007115</v>
      </c>
      <c r="BG17" s="77">
        <f>'Monthly Income Statement '!BG29</f>
        <v>630385.58649007115</v>
      </c>
      <c r="BH17" s="77">
        <f>'Monthly Income Statement '!BH29</f>
        <v>630385.58649007115</v>
      </c>
      <c r="BI17" s="77">
        <f>'Monthly Income Statement '!BI29</f>
        <v>630385.58649007115</v>
      </c>
    </row>
    <row r="18" spans="1:61">
      <c r="A18" s="74" t="s">
        <v>217</v>
      </c>
      <c r="B18" s="77">
        <f>SUM(Assumptions!B20:B25)+Depreciation!C19</f>
        <v>4450000</v>
      </c>
      <c r="C18" s="77">
        <f>Depreciation!D19</f>
        <v>0</v>
      </c>
      <c r="D18" s="77">
        <f>Depreciation!E19</f>
        <v>0</v>
      </c>
      <c r="E18" s="77">
        <f>Depreciation!F19</f>
        <v>0</v>
      </c>
      <c r="F18" s="77">
        <f>Depreciation!G19</f>
        <v>0</v>
      </c>
      <c r="G18" s="77">
        <f>Depreciation!H19</f>
        <v>0</v>
      </c>
      <c r="H18" s="77">
        <f>Depreciation!I19</f>
        <v>0</v>
      </c>
      <c r="I18" s="77">
        <f>Depreciation!J19</f>
        <v>0</v>
      </c>
      <c r="J18" s="77">
        <f>Depreciation!K19</f>
        <v>0</v>
      </c>
      <c r="K18" s="77">
        <f>Depreciation!L19</f>
        <v>0</v>
      </c>
      <c r="L18" s="77">
        <f>Depreciation!M19</f>
        <v>0</v>
      </c>
      <c r="M18" s="77">
        <f>Depreciation!N19</f>
        <v>0</v>
      </c>
      <c r="N18" s="77">
        <f>Depreciation!O19</f>
        <v>0</v>
      </c>
      <c r="O18" s="77">
        <f>Depreciation!P19</f>
        <v>0</v>
      </c>
      <c r="P18" s="77">
        <f>Depreciation!Q19</f>
        <v>0</v>
      </c>
      <c r="Q18" s="77">
        <f>Depreciation!R19</f>
        <v>0</v>
      </c>
      <c r="R18" s="77">
        <f>Depreciation!S19</f>
        <v>0</v>
      </c>
      <c r="S18" s="77">
        <f>Depreciation!T19</f>
        <v>0</v>
      </c>
      <c r="T18" s="77">
        <f>Depreciation!U19</f>
        <v>0</v>
      </c>
      <c r="U18" s="77">
        <f>Depreciation!V19</f>
        <v>0</v>
      </c>
      <c r="V18" s="77">
        <f>Depreciation!W19</f>
        <v>0</v>
      </c>
      <c r="W18" s="77">
        <f>Depreciation!X19</f>
        <v>0</v>
      </c>
      <c r="X18" s="77">
        <f>Depreciation!Y19</f>
        <v>0</v>
      </c>
      <c r="Y18" s="77">
        <f>Depreciation!Z19</f>
        <v>0</v>
      </c>
      <c r="Z18" s="77">
        <f>Depreciation!AA19</f>
        <v>0</v>
      </c>
      <c r="AA18" s="77">
        <f>Depreciation!AB19</f>
        <v>0</v>
      </c>
      <c r="AB18" s="77">
        <f>Depreciation!AC19</f>
        <v>0</v>
      </c>
      <c r="AC18" s="77">
        <f>Depreciation!AD19</f>
        <v>0</v>
      </c>
      <c r="AD18" s="77">
        <f>Depreciation!AE19</f>
        <v>0</v>
      </c>
      <c r="AE18" s="77">
        <f>Depreciation!AF19</f>
        <v>0</v>
      </c>
      <c r="AF18" s="77">
        <f>Depreciation!AG19</f>
        <v>0</v>
      </c>
      <c r="AG18" s="77">
        <f>Depreciation!AH19</f>
        <v>0</v>
      </c>
      <c r="AH18" s="77">
        <f>Depreciation!AI19</f>
        <v>0</v>
      </c>
      <c r="AI18" s="77">
        <f>Depreciation!AJ19</f>
        <v>0</v>
      </c>
      <c r="AJ18" s="77">
        <f>Depreciation!AK19</f>
        <v>0</v>
      </c>
      <c r="AK18" s="77">
        <f>Depreciation!AL19</f>
        <v>0</v>
      </c>
      <c r="AL18" s="77">
        <f>Depreciation!AM19</f>
        <v>0</v>
      </c>
      <c r="AM18" s="77">
        <f>Depreciation!AN19</f>
        <v>0</v>
      </c>
      <c r="AN18" s="77">
        <f>Depreciation!AO19</f>
        <v>0</v>
      </c>
      <c r="AO18" s="77">
        <f>Depreciation!AP19</f>
        <v>0</v>
      </c>
      <c r="AP18" s="77">
        <f>Depreciation!AQ19</f>
        <v>0</v>
      </c>
      <c r="AQ18" s="77">
        <f>Depreciation!AR19</f>
        <v>0</v>
      </c>
      <c r="AR18" s="77">
        <f>Depreciation!AS19</f>
        <v>0</v>
      </c>
      <c r="AS18" s="77">
        <f>Depreciation!AT19</f>
        <v>0</v>
      </c>
      <c r="AT18" s="77">
        <f>Depreciation!AU19</f>
        <v>0</v>
      </c>
      <c r="AU18" s="77">
        <f>Depreciation!AV19</f>
        <v>0</v>
      </c>
      <c r="AV18" s="77">
        <f>Depreciation!AW19</f>
        <v>0</v>
      </c>
      <c r="AW18" s="77">
        <f>Depreciation!AX19</f>
        <v>0</v>
      </c>
      <c r="AX18" s="77">
        <f>Depreciation!AY19</f>
        <v>0</v>
      </c>
      <c r="AY18" s="77">
        <f>Depreciation!AZ19</f>
        <v>0</v>
      </c>
      <c r="AZ18" s="77">
        <f>Depreciation!BA19</f>
        <v>0</v>
      </c>
      <c r="BA18" s="77">
        <f>Depreciation!BB19</f>
        <v>0</v>
      </c>
      <c r="BB18" s="77">
        <f>Depreciation!BC19</f>
        <v>0</v>
      </c>
      <c r="BC18" s="77">
        <f>Depreciation!BD19</f>
        <v>0</v>
      </c>
      <c r="BD18" s="77">
        <f>Depreciation!BE19</f>
        <v>0</v>
      </c>
      <c r="BE18" s="77">
        <f>Depreciation!BF19</f>
        <v>0</v>
      </c>
      <c r="BF18" s="77">
        <f>Depreciation!BG19</f>
        <v>0</v>
      </c>
      <c r="BG18" s="77">
        <f>Depreciation!BH19</f>
        <v>0</v>
      </c>
      <c r="BH18" s="77">
        <f>Depreciation!BI19</f>
        <v>0</v>
      </c>
      <c r="BI18" s="77">
        <f>Depreciation!BJ19</f>
        <v>0</v>
      </c>
    </row>
    <row r="19" spans="1:61">
      <c r="A19" s="74" t="s">
        <v>218</v>
      </c>
      <c r="B19" s="77">
        <f>'Loan Schedule'!B10</f>
        <v>0</v>
      </c>
      <c r="C19" s="77">
        <f>'Loan Schedule'!C10</f>
        <v>0</v>
      </c>
      <c r="D19" s="77">
        <f>'Loan Schedule'!D10</f>
        <v>0</v>
      </c>
      <c r="E19" s="77">
        <f>'Loan Schedule'!E10</f>
        <v>0</v>
      </c>
      <c r="F19" s="77">
        <f>'Loan Schedule'!F10</f>
        <v>0</v>
      </c>
      <c r="G19" s="77">
        <f>'Loan Schedule'!G10</f>
        <v>0</v>
      </c>
      <c r="H19" s="77">
        <f>'Loan Schedule'!H10</f>
        <v>0</v>
      </c>
      <c r="I19" s="77">
        <f>'Loan Schedule'!I10</f>
        <v>0</v>
      </c>
      <c r="J19" s="77">
        <f>'Loan Schedule'!J10</f>
        <v>0</v>
      </c>
      <c r="K19" s="77">
        <f>'Loan Schedule'!K10</f>
        <v>0</v>
      </c>
      <c r="L19" s="77">
        <f>'Loan Schedule'!L10</f>
        <v>0</v>
      </c>
      <c r="M19" s="77">
        <f>'Loan Schedule'!M10</f>
        <v>0</v>
      </c>
      <c r="N19" s="77">
        <f>'Loan Schedule'!N10</f>
        <v>0</v>
      </c>
      <c r="O19" s="77">
        <f>'Loan Schedule'!O10</f>
        <v>0</v>
      </c>
      <c r="P19" s="77">
        <f>'Loan Schedule'!P10</f>
        <v>0</v>
      </c>
      <c r="Q19" s="77">
        <f>'Loan Schedule'!Q10</f>
        <v>0</v>
      </c>
      <c r="R19" s="77">
        <f>'Loan Schedule'!R10</f>
        <v>0</v>
      </c>
      <c r="S19" s="77">
        <f>'Loan Schedule'!S10</f>
        <v>0</v>
      </c>
      <c r="T19" s="77">
        <f>'Loan Schedule'!T10</f>
        <v>0</v>
      </c>
      <c r="U19" s="77">
        <f>'Loan Schedule'!U10</f>
        <v>0</v>
      </c>
      <c r="V19" s="77">
        <f>'Loan Schedule'!V10</f>
        <v>0</v>
      </c>
      <c r="W19" s="77">
        <f>'Loan Schedule'!W10</f>
        <v>0</v>
      </c>
      <c r="X19" s="77">
        <f>'Loan Schedule'!X10</f>
        <v>0</v>
      </c>
      <c r="Y19" s="77">
        <f>'Loan Schedule'!Y10</f>
        <v>0</v>
      </c>
      <c r="Z19" s="77">
        <f>'Loan Schedule'!Z10</f>
        <v>0</v>
      </c>
      <c r="AA19" s="77">
        <f>'Loan Schedule'!AA10</f>
        <v>0</v>
      </c>
      <c r="AB19" s="77">
        <f>'Loan Schedule'!AB10</f>
        <v>0</v>
      </c>
      <c r="AC19" s="77">
        <f>'Loan Schedule'!AC10</f>
        <v>0</v>
      </c>
      <c r="AD19" s="77">
        <f>'Loan Schedule'!AD10</f>
        <v>0</v>
      </c>
      <c r="AE19" s="77">
        <f>'Loan Schedule'!AE10</f>
        <v>0</v>
      </c>
      <c r="AF19" s="77">
        <f>'Loan Schedule'!AF10</f>
        <v>0</v>
      </c>
      <c r="AG19" s="77">
        <f>'Loan Schedule'!AG10</f>
        <v>0</v>
      </c>
      <c r="AH19" s="77">
        <f>'Loan Schedule'!AH10</f>
        <v>0</v>
      </c>
      <c r="AI19" s="77">
        <f>'Loan Schedule'!AI10</f>
        <v>0</v>
      </c>
      <c r="AJ19" s="77">
        <f>'Loan Schedule'!AJ10</f>
        <v>0</v>
      </c>
      <c r="AK19" s="77">
        <f>'Loan Schedule'!AK10</f>
        <v>0</v>
      </c>
      <c r="AL19" s="77">
        <f>'Loan Schedule'!AL10</f>
        <v>0</v>
      </c>
      <c r="AM19" s="77">
        <f>'Loan Schedule'!AM10</f>
        <v>0</v>
      </c>
      <c r="AN19" s="77">
        <f>'Loan Schedule'!AN10</f>
        <v>0</v>
      </c>
      <c r="AO19" s="77">
        <f>'Loan Schedule'!AO10</f>
        <v>0</v>
      </c>
      <c r="AP19" s="77">
        <f>'Loan Schedule'!AP10</f>
        <v>0</v>
      </c>
      <c r="AQ19" s="77">
        <f>'Loan Schedule'!AQ10</f>
        <v>0</v>
      </c>
      <c r="AR19" s="77">
        <f>'Loan Schedule'!AR10</f>
        <v>0</v>
      </c>
      <c r="AS19" s="77">
        <f>'Loan Schedule'!AS10</f>
        <v>0</v>
      </c>
      <c r="AT19" s="77">
        <f>'Loan Schedule'!AT10</f>
        <v>0</v>
      </c>
      <c r="AU19" s="77">
        <f>'Loan Schedule'!AU10</f>
        <v>0</v>
      </c>
      <c r="AV19" s="77">
        <f>'Loan Schedule'!AV10</f>
        <v>0</v>
      </c>
      <c r="AW19" s="77">
        <f>'Loan Schedule'!AW10</f>
        <v>0</v>
      </c>
      <c r="AX19" s="77">
        <f>'Loan Schedule'!AX10</f>
        <v>0</v>
      </c>
      <c r="AY19" s="77">
        <f>'Loan Schedule'!AY10</f>
        <v>0</v>
      </c>
      <c r="AZ19" s="77">
        <f>'Loan Schedule'!AZ10</f>
        <v>0</v>
      </c>
      <c r="BA19" s="77">
        <f>'Loan Schedule'!BA10</f>
        <v>0</v>
      </c>
      <c r="BB19" s="77">
        <f>'Loan Schedule'!BB10</f>
        <v>0</v>
      </c>
      <c r="BC19" s="77">
        <f>'Loan Schedule'!BC10</f>
        <v>0</v>
      </c>
      <c r="BD19" s="77">
        <f>'Loan Schedule'!BD10</f>
        <v>0</v>
      </c>
      <c r="BE19" s="77">
        <f>'Loan Schedule'!BE10</f>
        <v>0</v>
      </c>
      <c r="BF19" s="77">
        <f>'Loan Schedule'!BF10</f>
        <v>0</v>
      </c>
      <c r="BG19" s="77">
        <f>'Loan Schedule'!BG10</f>
        <v>0</v>
      </c>
      <c r="BH19" s="77">
        <f>'Loan Schedule'!BH10</f>
        <v>0</v>
      </c>
      <c r="BI19" s="77">
        <f>'Loan Schedule'!BI10</f>
        <v>0</v>
      </c>
    </row>
    <row r="20" spans="1:61">
      <c r="A20" s="311" t="s">
        <v>310</v>
      </c>
      <c r="B20" s="77">
        <f>'Monthly Income Statement '!B4</f>
        <v>86625</v>
      </c>
      <c r="C20" s="77">
        <f>'Monthly Income Statement '!C4</f>
        <v>89223.750000000029</v>
      </c>
      <c r="D20" s="77">
        <f>'Monthly Income Statement '!D4</f>
        <v>91900.462500000009</v>
      </c>
      <c r="E20" s="77">
        <f>'Monthly Income Statement '!E4</f>
        <v>94657.476374999998</v>
      </c>
      <c r="F20" s="77">
        <f>'Monthly Income Statement '!F4</f>
        <v>97497.200666250021</v>
      </c>
      <c r="G20" s="77">
        <f>'Monthly Income Statement '!G4</f>
        <v>100422.11668623751</v>
      </c>
      <c r="H20" s="77">
        <f>'Monthly Income Statement '!H4</f>
        <v>103434.78018682465</v>
      </c>
      <c r="I20" s="77">
        <f>'Monthly Income Statement '!I4</f>
        <v>106537.8235924294</v>
      </c>
      <c r="J20" s="77">
        <f>'Monthly Income Statement '!J4</f>
        <v>109733.95830020227</v>
      </c>
      <c r="K20" s="77">
        <f>'Monthly Income Statement '!K4</f>
        <v>113025.97704920835</v>
      </c>
      <c r="L20" s="77">
        <f>'Monthly Income Statement '!L4</f>
        <v>116416.75636068461</v>
      </c>
      <c r="M20" s="77">
        <f>'Monthly Income Statement '!M4</f>
        <v>119909.25905150511</v>
      </c>
      <c r="N20" s="77">
        <f>'Monthly Income Statement '!N4</f>
        <v>198150.18495665566</v>
      </c>
      <c r="O20" s="77">
        <f>'Monthly Income Statement '!O4</f>
        <v>217965.20345232126</v>
      </c>
      <c r="P20" s="77">
        <f>'Monthly Income Statement '!P4</f>
        <v>239761.72379755339</v>
      </c>
      <c r="Q20" s="77">
        <f>'Monthly Income Statement '!Q4</f>
        <v>263737.89617730869</v>
      </c>
      <c r="R20" s="77">
        <f>'Monthly Income Statement '!R4</f>
        <v>290111.68579503958</v>
      </c>
      <c r="S20" s="77">
        <f>'Monthly Income Statement '!S4</f>
        <v>319122.85437454359</v>
      </c>
      <c r="T20" s="77">
        <f>'Monthly Income Statement '!T4</f>
        <v>351035.13981199794</v>
      </c>
      <c r="U20" s="77">
        <f>'Monthly Income Statement '!U4</f>
        <v>386138.65379319782</v>
      </c>
      <c r="V20" s="77">
        <f>'Monthly Income Statement '!V4</f>
        <v>424752.5191725177</v>
      </c>
      <c r="W20" s="77">
        <f>'Monthly Income Statement '!W4</f>
        <v>467227.77108976943</v>
      </c>
      <c r="X20" s="77">
        <f>'Monthly Income Statement '!X4</f>
        <v>513950.5481987464</v>
      </c>
      <c r="Y20" s="77">
        <f>'Monthly Income Statement '!Y4</f>
        <v>565345.60301862098</v>
      </c>
      <c r="Z20" s="77">
        <f>'Monthly Income Statement '!Z4</f>
        <v>593612.88316955208</v>
      </c>
      <c r="AA20" s="77">
        <f>'Monthly Income Statement '!AA4</f>
        <v>623293.52732802974</v>
      </c>
      <c r="AB20" s="77">
        <f>'Monthly Income Statement '!AB4</f>
        <v>654458.20369443111</v>
      </c>
      <c r="AC20" s="77">
        <f>'Monthly Income Statement '!AC4</f>
        <v>687181.11387915281</v>
      </c>
      <c r="AD20" s="77">
        <f>'Monthly Income Statement '!AD4</f>
        <v>721540.16957311041</v>
      </c>
      <c r="AE20" s="77">
        <f>'Monthly Income Statement '!AE4</f>
        <v>757617.17805176601</v>
      </c>
      <c r="AF20" s="77">
        <f>'Monthly Income Statement '!AF4</f>
        <v>795498.03695435426</v>
      </c>
      <c r="AG20" s="77">
        <f>'Monthly Income Statement '!AG4</f>
        <v>835272.93880207208</v>
      </c>
      <c r="AH20" s="77">
        <f>'Monthly Income Statement '!AH4</f>
        <v>877036.58574217581</v>
      </c>
      <c r="AI20" s="77">
        <f>'Monthly Income Statement '!AI4</f>
        <v>920888.41502928454</v>
      </c>
      <c r="AJ20" s="77">
        <f>'Monthly Income Statement '!AJ4</f>
        <v>966932.83578074898</v>
      </c>
      <c r="AK20" s="77">
        <f>'Monthly Income Statement '!AK4</f>
        <v>1015279.4775697864</v>
      </c>
      <c r="AL20" s="77">
        <f>'Monthly Income Statement '!AL4</f>
        <v>1066043.4514482757</v>
      </c>
      <c r="AM20" s="77">
        <f>'Monthly Income Statement '!AM4</f>
        <v>1119345.6240206896</v>
      </c>
      <c r="AN20" s="77">
        <f>'Monthly Income Statement '!AN4</f>
        <v>1175312.9052217242</v>
      </c>
      <c r="AO20" s="77">
        <f>'Monthly Income Statement '!AO4</f>
        <v>1234078.5504828105</v>
      </c>
      <c r="AP20" s="77">
        <f>'Monthly Income Statement '!AP4</f>
        <v>1295782.478006951</v>
      </c>
      <c r="AQ20" s="77">
        <f>'Monthly Income Statement '!AQ4</f>
        <v>1360571.6019072987</v>
      </c>
      <c r="AR20" s="77">
        <f>'Monthly Income Statement '!AR4</f>
        <v>1428600.1820026636</v>
      </c>
      <c r="AS20" s="77">
        <f>'Monthly Income Statement '!AS4</f>
        <v>1500030.1911027967</v>
      </c>
      <c r="AT20" s="77">
        <f>'Monthly Income Statement '!AT4</f>
        <v>1575031.7006579367</v>
      </c>
      <c r="AU20" s="77">
        <f>'Monthly Income Statement '!AU4</f>
        <v>1653783.2856908336</v>
      </c>
      <c r="AV20" s="77">
        <f>'Monthly Income Statement '!AV4</f>
        <v>1736472.4499753753</v>
      </c>
      <c r="AW20" s="77">
        <f>'Monthly Income Statement '!AW4</f>
        <v>1823296.0724741442</v>
      </c>
      <c r="AX20" s="77">
        <f>'Monthly Income Statement '!AX4</f>
        <v>1914460.8760978514</v>
      </c>
      <c r="AY20" s="77">
        <f>'Monthly Income Statement '!AY4</f>
        <v>2010183.9199027435</v>
      </c>
      <c r="AZ20" s="77">
        <f>'Monthly Income Statement '!AZ4</f>
        <v>2110693.1158978809</v>
      </c>
      <c r="BA20" s="77">
        <f>'Monthly Income Statement '!BA4</f>
        <v>2216227.7716927757</v>
      </c>
      <c r="BB20" s="77">
        <f>'Monthly Income Statement '!BB4</f>
        <v>2327039.1602774141</v>
      </c>
      <c r="BC20" s="77">
        <f>'Monthly Income Statement '!BC4</f>
        <v>2443391.1182912854</v>
      </c>
      <c r="BD20" s="77">
        <f>'Monthly Income Statement '!BD4</f>
        <v>2565560.6742058494</v>
      </c>
      <c r="BE20" s="77">
        <f>'Monthly Income Statement '!BE4</f>
        <v>2693838.707916142</v>
      </c>
      <c r="BF20" s="77">
        <f>'Monthly Income Statement '!BF4</f>
        <v>2828530.643311949</v>
      </c>
      <c r="BG20" s="77">
        <f>'Monthly Income Statement '!BG4</f>
        <v>2969957.1754775466</v>
      </c>
      <c r="BH20" s="77">
        <f>'Monthly Income Statement '!BH4</f>
        <v>3118455.0342514245</v>
      </c>
      <c r="BI20" s="77">
        <f>'Monthly Income Statement '!BI4</f>
        <v>3274377.7859639958</v>
      </c>
    </row>
    <row r="21" spans="1:61">
      <c r="A21" s="311"/>
      <c r="B21" s="77"/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</row>
    <row r="22" spans="1:61">
      <c r="A22" s="72" t="str">
        <f>'Cash Flows'!A22</f>
        <v>Total Outflows</v>
      </c>
      <c r="B22" s="78">
        <f>SUM(B9:B20)</f>
        <v>4695154.203978993</v>
      </c>
      <c r="C22" s="78">
        <f t="shared" ref="C22:BI22" si="2">SUM(C9:C20)</f>
        <v>248304.20397899274</v>
      </c>
      <c r="D22" s="78">
        <f t="shared" si="2"/>
        <v>251548.70397899271</v>
      </c>
      <c r="E22" s="78">
        <f t="shared" si="2"/>
        <v>254890.5389789927</v>
      </c>
      <c r="F22" s="78">
        <f t="shared" si="2"/>
        <v>258332.62902899273</v>
      </c>
      <c r="G22" s="78">
        <f t="shared" si="2"/>
        <v>261877.98178049273</v>
      </c>
      <c r="H22" s="78">
        <f t="shared" si="2"/>
        <v>265529.69511453772</v>
      </c>
      <c r="I22" s="78">
        <f t="shared" si="2"/>
        <v>269290.95984860411</v>
      </c>
      <c r="J22" s="78">
        <f t="shared" si="2"/>
        <v>273165.06252469239</v>
      </c>
      <c r="K22" s="78">
        <f t="shared" si="2"/>
        <v>277155.38828106341</v>
      </c>
      <c r="L22" s="78">
        <f t="shared" si="2"/>
        <v>281265.42381012556</v>
      </c>
      <c r="M22" s="78">
        <f t="shared" si="2"/>
        <v>285498.7604050595</v>
      </c>
      <c r="N22" s="78">
        <f t="shared" si="2"/>
        <v>488050.5254013805</v>
      </c>
      <c r="O22" s="78">
        <f t="shared" si="2"/>
        <v>502781.51827491447</v>
      </c>
      <c r="P22" s="78">
        <f t="shared" si="2"/>
        <v>528618.20960246865</v>
      </c>
      <c r="Q22" s="78">
        <f t="shared" si="2"/>
        <v>557038.57006277808</v>
      </c>
      <c r="R22" s="78">
        <f t="shared" si="2"/>
        <v>588300.96656911855</v>
      </c>
      <c r="S22" s="78">
        <f t="shared" si="2"/>
        <v>622689.60272609303</v>
      </c>
      <c r="T22" s="78">
        <f t="shared" si="2"/>
        <v>660517.1024987651</v>
      </c>
      <c r="U22" s="78">
        <f t="shared" si="2"/>
        <v>702127.35224870429</v>
      </c>
      <c r="V22" s="78">
        <f t="shared" si="2"/>
        <v>747898.62697363738</v>
      </c>
      <c r="W22" s="78">
        <f t="shared" si="2"/>
        <v>798247.0291710638</v>
      </c>
      <c r="X22" s="78">
        <f t="shared" si="2"/>
        <v>853630.27158823283</v>
      </c>
      <c r="Y22" s="78">
        <f t="shared" si="2"/>
        <v>914551.83824711875</v>
      </c>
      <c r="Z22" s="78">
        <f t="shared" si="2"/>
        <v>1169740.3202011683</v>
      </c>
      <c r="AA22" s="78">
        <f t="shared" si="2"/>
        <v>1183701.4474466748</v>
      </c>
      <c r="AB22" s="78">
        <f t="shared" si="2"/>
        <v>1220642.7624294567</v>
      </c>
      <c r="AC22" s="78">
        <f t="shared" si="2"/>
        <v>1259431.1431613779</v>
      </c>
      <c r="AD22" s="78">
        <f t="shared" si="2"/>
        <v>1300158.9429298949</v>
      </c>
      <c r="AE22" s="78">
        <f t="shared" si="2"/>
        <v>1342923.132686838</v>
      </c>
      <c r="AF22" s="78">
        <f t="shared" si="2"/>
        <v>1387825.531931628</v>
      </c>
      <c r="AG22" s="78">
        <f t="shared" si="2"/>
        <v>1434973.0511386576</v>
      </c>
      <c r="AH22" s="78">
        <f t="shared" si="2"/>
        <v>1484477.9463060391</v>
      </c>
      <c r="AI22" s="78">
        <f t="shared" si="2"/>
        <v>1536458.0862317891</v>
      </c>
      <c r="AJ22" s="78">
        <f t="shared" si="2"/>
        <v>1591037.233153827</v>
      </c>
      <c r="AK22" s="78">
        <f t="shared" si="2"/>
        <v>1648345.3374219667</v>
      </c>
      <c r="AL22" s="78">
        <f t="shared" si="2"/>
        <v>2051762.9662546569</v>
      </c>
      <c r="AM22" s="78">
        <f t="shared" si="2"/>
        <v>2080120.3377936142</v>
      </c>
      <c r="AN22" s="78">
        <f t="shared" si="2"/>
        <v>2146461.6319970191</v>
      </c>
      <c r="AO22" s="78">
        <f t="shared" si="2"/>
        <v>2216119.9909105948</v>
      </c>
      <c r="AP22" s="78">
        <f t="shared" si="2"/>
        <v>2289261.2677698489</v>
      </c>
      <c r="AQ22" s="78">
        <f t="shared" si="2"/>
        <v>2366059.608472066</v>
      </c>
      <c r="AR22" s="78">
        <f t="shared" si="2"/>
        <v>2446697.8662093934</v>
      </c>
      <c r="AS22" s="78">
        <f t="shared" si="2"/>
        <v>2531368.0368335871</v>
      </c>
      <c r="AT22" s="78">
        <f t="shared" si="2"/>
        <v>2620271.7159889913</v>
      </c>
      <c r="AU22" s="78">
        <f t="shared" si="2"/>
        <v>2713620.5791021651</v>
      </c>
      <c r="AV22" s="78">
        <f t="shared" si="2"/>
        <v>2811636.8853709977</v>
      </c>
      <c r="AW22" s="78">
        <f t="shared" si="2"/>
        <v>2914554.006953272</v>
      </c>
      <c r="AX22" s="78">
        <f t="shared" si="2"/>
        <v>3647443.5332475519</v>
      </c>
      <c r="AY22" s="78">
        <f t="shared" si="2"/>
        <v>3710151.4682170087</v>
      </c>
      <c r="AZ22" s="78">
        <f t="shared" si="2"/>
        <v>3829290.9010886895</v>
      </c>
      <c r="BA22" s="78">
        <f t="shared" si="2"/>
        <v>3954387.3056039545</v>
      </c>
      <c r="BB22" s="78">
        <f t="shared" si="2"/>
        <v>4085738.5303449817</v>
      </c>
      <c r="BC22" s="78">
        <f t="shared" si="2"/>
        <v>4223657.3163230615</v>
      </c>
      <c r="BD22" s="78">
        <f t="shared" si="2"/>
        <v>4368472.0416000439</v>
      </c>
      <c r="BE22" s="78">
        <f t="shared" si="2"/>
        <v>4520527.5031408761</v>
      </c>
      <c r="BF22" s="78">
        <f t="shared" si="2"/>
        <v>4680185.7377587492</v>
      </c>
      <c r="BG22" s="78">
        <f t="shared" si="2"/>
        <v>4847826.8841075171</v>
      </c>
      <c r="BH22" s="78">
        <f t="shared" si="2"/>
        <v>5023850.0877737226</v>
      </c>
      <c r="BI22" s="78">
        <f t="shared" si="2"/>
        <v>5208674.4516232386</v>
      </c>
    </row>
    <row r="23" spans="1:61">
      <c r="A23" s="74"/>
      <c r="B23" s="77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</row>
    <row r="24" spans="1:61">
      <c r="A24" s="74" t="str">
        <f>'Cash Flows'!A24</f>
        <v>Net Cash generated</v>
      </c>
      <c r="B24" s="77">
        <f t="shared" ref="B24:AG24" si="3">B6-B22</f>
        <v>5514845.796021007</v>
      </c>
      <c r="C24" s="77">
        <f t="shared" si="3"/>
        <v>-32004.203978992678</v>
      </c>
      <c r="D24" s="77">
        <f t="shared" si="3"/>
        <v>23740.296021007292</v>
      </c>
      <c r="E24" s="77">
        <f t="shared" si="3"/>
        <v>28657.131021007342</v>
      </c>
      <c r="F24" s="77">
        <f t="shared" si="3"/>
        <v>33721.471071007312</v>
      </c>
      <c r="G24" s="77">
        <f t="shared" si="3"/>
        <v>38937.741322507296</v>
      </c>
      <c r="H24" s="77">
        <f t="shared" si="3"/>
        <v>44310.499681552348</v>
      </c>
      <c r="I24" s="77">
        <f t="shared" si="3"/>
        <v>49844.440791368659</v>
      </c>
      <c r="J24" s="77">
        <f t="shared" si="3"/>
        <v>55544.400134479511</v>
      </c>
      <c r="K24" s="77">
        <f t="shared" si="3"/>
        <v>61415.358257883694</v>
      </c>
      <c r="L24" s="77">
        <f t="shared" si="3"/>
        <v>67462.445124989958</v>
      </c>
      <c r="M24" s="77">
        <f t="shared" si="3"/>
        <v>73690.944598109461</v>
      </c>
      <c r="N24" s="77">
        <f t="shared" si="3"/>
        <v>2263.108651532908</v>
      </c>
      <c r="O24" s="77">
        <f t="shared" si="3"/>
        <v>31624.586489200825</v>
      </c>
      <c r="P24" s="77">
        <f t="shared" si="3"/>
        <v>84228.505638058065</v>
      </c>
      <c r="Q24" s="77">
        <f t="shared" si="3"/>
        <v>117092.81670180126</v>
      </c>
      <c r="R24" s="77">
        <f t="shared" si="3"/>
        <v>153243.55887191882</v>
      </c>
      <c r="S24" s="77">
        <f t="shared" si="3"/>
        <v>193009.37525904831</v>
      </c>
      <c r="T24" s="77">
        <f t="shared" si="3"/>
        <v>236751.77328489022</v>
      </c>
      <c r="U24" s="77">
        <f t="shared" si="3"/>
        <v>284868.41111331666</v>
      </c>
      <c r="V24" s="77">
        <f t="shared" si="3"/>
        <v>337796.71272458578</v>
      </c>
      <c r="W24" s="77">
        <f t="shared" si="3"/>
        <v>396017.84449698171</v>
      </c>
      <c r="X24" s="77">
        <f t="shared" si="3"/>
        <v>460061.08944661729</v>
      </c>
      <c r="Y24" s="77">
        <f t="shared" si="3"/>
        <v>530508.65889121662</v>
      </c>
      <c r="Z24" s="77">
        <f t="shared" si="3"/>
        <v>359945.29509150097</v>
      </c>
      <c r="AA24" s="77">
        <f t="shared" si="3"/>
        <v>436077.75123778707</v>
      </c>
      <c r="AB24" s="77">
        <f t="shared" si="3"/>
        <v>480125.39618922817</v>
      </c>
      <c r="AC24" s="77">
        <f t="shared" si="3"/>
        <v>526375.42338824132</v>
      </c>
      <c r="AD24" s="77">
        <f t="shared" si="3"/>
        <v>574937.95194720547</v>
      </c>
      <c r="AE24" s="77">
        <f t="shared" si="3"/>
        <v>625928.60693411715</v>
      </c>
      <c r="AF24" s="77">
        <f t="shared" si="3"/>
        <v>679468.79467037553</v>
      </c>
      <c r="AG24" s="77">
        <f t="shared" si="3"/>
        <v>735685.99179344578</v>
      </c>
      <c r="AH24" s="77">
        <f t="shared" ref="AH24:BI24" si="4">AH6-AH22</f>
        <v>794714.04877266986</v>
      </c>
      <c r="AI24" s="77">
        <f t="shared" si="4"/>
        <v>856693.50860085525</v>
      </c>
      <c r="AJ24" s="77">
        <f t="shared" si="4"/>
        <v>921771.94142044988</v>
      </c>
      <c r="AK24" s="77">
        <f t="shared" si="4"/>
        <v>990104.2958810241</v>
      </c>
      <c r="AL24" s="77">
        <f t="shared" si="4"/>
        <v>718609.14871348371</v>
      </c>
      <c r="AM24" s="77">
        <f t="shared" si="4"/>
        <v>828770.38292293297</v>
      </c>
      <c r="AN24" s="77">
        <f t="shared" si="4"/>
        <v>907873.624755356</v>
      </c>
      <c r="AO24" s="77">
        <f t="shared" si="4"/>
        <v>990932.02867939882</v>
      </c>
      <c r="AP24" s="77">
        <f t="shared" si="4"/>
        <v>1078143.3527996447</v>
      </c>
      <c r="AQ24" s="77">
        <f t="shared" si="4"/>
        <v>1169715.2431259025</v>
      </c>
      <c r="AR24" s="77">
        <f t="shared" si="4"/>
        <v>1265865.7279684735</v>
      </c>
      <c r="AS24" s="77">
        <f t="shared" si="4"/>
        <v>1366823.7370531741</v>
      </c>
      <c r="AT24" s="77">
        <f t="shared" si="4"/>
        <v>1472829.6465921071</v>
      </c>
      <c r="AU24" s="77">
        <f t="shared" si="4"/>
        <v>1584135.8516079895</v>
      </c>
      <c r="AV24" s="77">
        <f t="shared" si="4"/>
        <v>1701007.3668746632</v>
      </c>
      <c r="AW24" s="77">
        <f t="shared" si="4"/>
        <v>1823722.4579046732</v>
      </c>
      <c r="AX24" s="77">
        <f t="shared" si="4"/>
        <v>1327746.7548532896</v>
      </c>
      <c r="AY24" s="77">
        <f t="shared" si="4"/>
        <v>1513798.3342888746</v>
      </c>
      <c r="AZ24" s="77">
        <f t="shared" si="4"/>
        <v>1655856.3915424887</v>
      </c>
      <c r="BA24" s="77">
        <f t="shared" si="4"/>
        <v>1805017.3516587834</v>
      </c>
      <c r="BB24" s="77">
        <f t="shared" si="4"/>
        <v>1961636.3597808937</v>
      </c>
      <c r="BC24" s="77">
        <f t="shared" si="4"/>
        <v>2126086.3183091078</v>
      </c>
      <c r="BD24" s="77">
        <f t="shared" si="4"/>
        <v>2298758.7747637341</v>
      </c>
      <c r="BE24" s="77">
        <f t="shared" si="4"/>
        <v>2480064.8540410912</v>
      </c>
      <c r="BF24" s="77">
        <f t="shared" si="4"/>
        <v>2670436.2372823162</v>
      </c>
      <c r="BG24" s="77">
        <f t="shared" si="4"/>
        <v>2870326.1896856017</v>
      </c>
      <c r="BH24" s="77">
        <f t="shared" si="4"/>
        <v>3080210.6397090526</v>
      </c>
      <c r="BI24" s="77">
        <f t="shared" si="4"/>
        <v>3300589.3122336771</v>
      </c>
    </row>
    <row r="25" spans="1:61">
      <c r="A25" s="74"/>
      <c r="B25" s="77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</row>
    <row r="26" spans="1:61">
      <c r="A26" s="74" t="str">
        <f>'Cash Flows'!A26</f>
        <v>Opening Cash Balance</v>
      </c>
      <c r="B26" s="77">
        <v>0</v>
      </c>
      <c r="C26" s="77">
        <f>B27</f>
        <v>5514845.796021007</v>
      </c>
      <c r="D26" s="77">
        <f t="shared" ref="D26:M26" si="5">C27</f>
        <v>5482841.592042014</v>
      </c>
      <c r="E26" s="77">
        <f t="shared" si="5"/>
        <v>5506581.888063021</v>
      </c>
      <c r="F26" s="77">
        <f t="shared" si="5"/>
        <v>5535239.019084028</v>
      </c>
      <c r="G26" s="77">
        <f t="shared" si="5"/>
        <v>5568960.4901550356</v>
      </c>
      <c r="H26" s="77">
        <f t="shared" si="5"/>
        <v>5607898.2314775428</v>
      </c>
      <c r="I26" s="77">
        <f t="shared" si="5"/>
        <v>5652208.7311590947</v>
      </c>
      <c r="J26" s="77">
        <f t="shared" si="5"/>
        <v>5702053.1719504632</v>
      </c>
      <c r="K26" s="77">
        <f t="shared" si="5"/>
        <v>5757597.5720849428</v>
      </c>
      <c r="L26" s="77">
        <f t="shared" si="5"/>
        <v>5819012.930342827</v>
      </c>
      <c r="M26" s="77">
        <f t="shared" si="5"/>
        <v>5886475.3754678173</v>
      </c>
      <c r="N26" s="77">
        <f t="shared" ref="N26" si="6">M27</f>
        <v>5960166.3200659268</v>
      </c>
      <c r="O26" s="77">
        <f t="shared" ref="O26" si="7">N27</f>
        <v>5962429.4287174596</v>
      </c>
      <c r="P26" s="77">
        <f t="shared" ref="P26" si="8">O27</f>
        <v>5994054.0152066601</v>
      </c>
      <c r="Q26" s="77">
        <f t="shared" ref="Q26" si="9">P27</f>
        <v>6078282.5208447184</v>
      </c>
      <c r="R26" s="77">
        <f t="shared" ref="R26" si="10">Q27</f>
        <v>6195375.3375465199</v>
      </c>
      <c r="S26" s="77">
        <f t="shared" ref="S26" si="11">R27</f>
        <v>6348618.8964184392</v>
      </c>
      <c r="T26" s="77">
        <f t="shared" ref="T26" si="12">S27</f>
        <v>6541628.2716774875</v>
      </c>
      <c r="U26" s="77">
        <f t="shared" ref="U26" si="13">T27</f>
        <v>6778380.0449623782</v>
      </c>
      <c r="V26" s="77">
        <f t="shared" ref="V26" si="14">U27</f>
        <v>7063248.4560756944</v>
      </c>
      <c r="W26" s="77">
        <f t="shared" ref="W26" si="15">V27</f>
        <v>7401045.1688002804</v>
      </c>
      <c r="X26" s="77">
        <f t="shared" ref="X26" si="16">W27</f>
        <v>7797063.0132972617</v>
      </c>
      <c r="Y26" s="77">
        <f t="shared" ref="Y26" si="17">X27</f>
        <v>8257124.102743879</v>
      </c>
      <c r="Z26" s="77">
        <f t="shared" ref="Z26" si="18">Y27</f>
        <v>8787632.7616350949</v>
      </c>
      <c r="AA26" s="77">
        <f t="shared" ref="AA26" si="19">Z27</f>
        <v>9147578.0567265954</v>
      </c>
      <c r="AB26" s="77">
        <f t="shared" ref="AB26" si="20">AA27</f>
        <v>9583655.8079643827</v>
      </c>
      <c r="AC26" s="77">
        <f t="shared" ref="AC26" si="21">AB27</f>
        <v>10063781.20415361</v>
      </c>
      <c r="AD26" s="77">
        <f t="shared" ref="AD26" si="22">AC27</f>
        <v>10590156.627541851</v>
      </c>
      <c r="AE26" s="77">
        <f t="shared" ref="AE26" si="23">AD27</f>
        <v>11165094.579489056</v>
      </c>
      <c r="AF26" s="77">
        <f t="shared" ref="AF26" si="24">AE27</f>
        <v>11791023.186423173</v>
      </c>
      <c r="AG26" s="77">
        <f t="shared" ref="AG26" si="25">AF27</f>
        <v>12470491.981093548</v>
      </c>
      <c r="AH26" s="77">
        <f t="shared" ref="AH26" si="26">AG27</f>
        <v>13206177.972886994</v>
      </c>
      <c r="AI26" s="77">
        <f t="shared" ref="AI26" si="27">AH27</f>
        <v>14000892.021659665</v>
      </c>
      <c r="AJ26" s="77">
        <f t="shared" ref="AJ26" si="28">AI27</f>
        <v>14857585.53026052</v>
      </c>
      <c r="AK26" s="77">
        <f t="shared" ref="AK26" si="29">AJ27</f>
        <v>15779357.471680969</v>
      </c>
      <c r="AL26" s="77">
        <f t="shared" ref="AL26" si="30">AK27</f>
        <v>16769461.767561993</v>
      </c>
      <c r="AM26" s="77">
        <f t="shared" ref="AM26" si="31">AL27</f>
        <v>17488070.916275475</v>
      </c>
      <c r="AN26" s="77">
        <f t="shared" ref="AN26" si="32">AM27</f>
        <v>18316841.299198408</v>
      </c>
      <c r="AO26" s="77">
        <f t="shared" ref="AO26" si="33">AN27</f>
        <v>19224714.923953764</v>
      </c>
      <c r="AP26" s="77">
        <f t="shared" ref="AP26" si="34">AO27</f>
        <v>20215646.952633165</v>
      </c>
      <c r="AQ26" s="77">
        <f t="shared" ref="AQ26" si="35">AP27</f>
        <v>21293790.305432811</v>
      </c>
      <c r="AR26" s="77">
        <f t="shared" ref="AR26" si="36">AQ27</f>
        <v>22463505.548558712</v>
      </c>
      <c r="AS26" s="77">
        <f t="shared" ref="AS26" si="37">AR27</f>
        <v>23729371.276527185</v>
      </c>
      <c r="AT26" s="77">
        <f t="shared" ref="AT26" si="38">AS27</f>
        <v>25096195.01358036</v>
      </c>
      <c r="AU26" s="77">
        <f t="shared" ref="AU26" si="39">AT27</f>
        <v>26569024.660172466</v>
      </c>
      <c r="AV26" s="77">
        <f t="shared" ref="AV26" si="40">AU27</f>
        <v>28153160.511780456</v>
      </c>
      <c r="AW26" s="77">
        <f t="shared" ref="AW26" si="41">AV27</f>
        <v>29854167.878655121</v>
      </c>
      <c r="AX26" s="77">
        <f t="shared" ref="AX26" si="42">AW27</f>
        <v>31677890.336559795</v>
      </c>
      <c r="AY26" s="77">
        <f t="shared" ref="AY26" si="43">AX27</f>
        <v>33005637.091413084</v>
      </c>
      <c r="AZ26" s="77">
        <f t="shared" ref="AZ26" si="44">AY27</f>
        <v>34519435.425701961</v>
      </c>
      <c r="BA26" s="77">
        <f t="shared" ref="BA26" si="45">AZ27</f>
        <v>36175291.817244448</v>
      </c>
      <c r="BB26" s="77">
        <f t="shared" ref="BB26" si="46">BA27</f>
        <v>37980309.168903232</v>
      </c>
      <c r="BC26" s="77">
        <f t="shared" ref="BC26" si="47">BB27</f>
        <v>39941945.528684124</v>
      </c>
      <c r="BD26" s="77">
        <f t="shared" ref="BD26" si="48">BC27</f>
        <v>42068031.84699323</v>
      </c>
      <c r="BE26" s="77">
        <f t="shared" ref="BE26" si="49">BD27</f>
        <v>44366790.621756963</v>
      </c>
      <c r="BF26" s="77">
        <f t="shared" ref="BF26" si="50">BE27</f>
        <v>46846855.475798056</v>
      </c>
      <c r="BG26" s="77">
        <f t="shared" ref="BG26" si="51">BF27</f>
        <v>49517291.713080369</v>
      </c>
      <c r="BH26" s="77">
        <f t="shared" ref="BH26" si="52">BG27</f>
        <v>52387617.902765974</v>
      </c>
      <c r="BI26" s="77">
        <f t="shared" ref="BI26" si="53">BH27</f>
        <v>55467828.54247503</v>
      </c>
    </row>
    <row r="27" spans="1:61">
      <c r="A27" s="72" t="str">
        <f>'Cash Flows'!A27</f>
        <v>Ending Cash Balance</v>
      </c>
      <c r="B27" s="79">
        <f>SUM(B24:B26)</f>
        <v>5514845.796021007</v>
      </c>
      <c r="C27" s="79">
        <f t="shared" ref="C27:M27" si="54">SUM(C24:C26)</f>
        <v>5482841.592042014</v>
      </c>
      <c r="D27" s="79">
        <f t="shared" si="54"/>
        <v>5506581.888063021</v>
      </c>
      <c r="E27" s="79">
        <f t="shared" si="54"/>
        <v>5535239.019084028</v>
      </c>
      <c r="F27" s="79">
        <f t="shared" si="54"/>
        <v>5568960.4901550356</v>
      </c>
      <c r="G27" s="79">
        <f t="shared" si="54"/>
        <v>5607898.2314775428</v>
      </c>
      <c r="H27" s="79">
        <f t="shared" si="54"/>
        <v>5652208.7311590947</v>
      </c>
      <c r="I27" s="79">
        <f t="shared" si="54"/>
        <v>5702053.1719504632</v>
      </c>
      <c r="J27" s="79">
        <f t="shared" si="54"/>
        <v>5757597.5720849428</v>
      </c>
      <c r="K27" s="79">
        <f t="shared" si="54"/>
        <v>5819012.930342827</v>
      </c>
      <c r="L27" s="79">
        <f t="shared" si="54"/>
        <v>5886475.3754678173</v>
      </c>
      <c r="M27" s="79">
        <f t="shared" si="54"/>
        <v>5960166.3200659268</v>
      </c>
      <c r="N27" s="79">
        <f t="shared" ref="N27:BI27" si="55">SUM(N24:N26)</f>
        <v>5962429.4287174596</v>
      </c>
      <c r="O27" s="79">
        <f t="shared" si="55"/>
        <v>5994054.0152066601</v>
      </c>
      <c r="P27" s="79">
        <f t="shared" si="55"/>
        <v>6078282.5208447184</v>
      </c>
      <c r="Q27" s="79">
        <f t="shared" si="55"/>
        <v>6195375.3375465199</v>
      </c>
      <c r="R27" s="79">
        <f t="shared" si="55"/>
        <v>6348618.8964184392</v>
      </c>
      <c r="S27" s="79">
        <f t="shared" si="55"/>
        <v>6541628.2716774875</v>
      </c>
      <c r="T27" s="79">
        <f t="shared" si="55"/>
        <v>6778380.0449623782</v>
      </c>
      <c r="U27" s="79">
        <f t="shared" si="55"/>
        <v>7063248.4560756944</v>
      </c>
      <c r="V27" s="79">
        <f t="shared" si="55"/>
        <v>7401045.1688002804</v>
      </c>
      <c r="W27" s="79">
        <f t="shared" si="55"/>
        <v>7797063.0132972617</v>
      </c>
      <c r="X27" s="79">
        <f t="shared" si="55"/>
        <v>8257124.102743879</v>
      </c>
      <c r="Y27" s="79">
        <f t="shared" si="55"/>
        <v>8787632.7616350949</v>
      </c>
      <c r="Z27" s="79">
        <f t="shared" si="55"/>
        <v>9147578.0567265954</v>
      </c>
      <c r="AA27" s="79">
        <f t="shared" si="55"/>
        <v>9583655.8079643827</v>
      </c>
      <c r="AB27" s="79">
        <f t="shared" si="55"/>
        <v>10063781.20415361</v>
      </c>
      <c r="AC27" s="79">
        <f t="shared" si="55"/>
        <v>10590156.627541851</v>
      </c>
      <c r="AD27" s="79">
        <f t="shared" si="55"/>
        <v>11165094.579489056</v>
      </c>
      <c r="AE27" s="79">
        <f t="shared" si="55"/>
        <v>11791023.186423173</v>
      </c>
      <c r="AF27" s="79">
        <f t="shared" si="55"/>
        <v>12470491.981093548</v>
      </c>
      <c r="AG27" s="79">
        <f t="shared" si="55"/>
        <v>13206177.972886994</v>
      </c>
      <c r="AH27" s="79">
        <f t="shared" si="55"/>
        <v>14000892.021659665</v>
      </c>
      <c r="AI27" s="79">
        <f t="shared" si="55"/>
        <v>14857585.53026052</v>
      </c>
      <c r="AJ27" s="79">
        <f t="shared" si="55"/>
        <v>15779357.471680969</v>
      </c>
      <c r="AK27" s="79">
        <f t="shared" si="55"/>
        <v>16769461.767561993</v>
      </c>
      <c r="AL27" s="79">
        <f t="shared" si="55"/>
        <v>17488070.916275475</v>
      </c>
      <c r="AM27" s="79">
        <f t="shared" si="55"/>
        <v>18316841.299198408</v>
      </c>
      <c r="AN27" s="79">
        <f t="shared" si="55"/>
        <v>19224714.923953764</v>
      </c>
      <c r="AO27" s="79">
        <f t="shared" si="55"/>
        <v>20215646.952633165</v>
      </c>
      <c r="AP27" s="79">
        <f t="shared" si="55"/>
        <v>21293790.305432811</v>
      </c>
      <c r="AQ27" s="79">
        <f t="shared" si="55"/>
        <v>22463505.548558712</v>
      </c>
      <c r="AR27" s="79">
        <f t="shared" si="55"/>
        <v>23729371.276527185</v>
      </c>
      <c r="AS27" s="79">
        <f t="shared" si="55"/>
        <v>25096195.01358036</v>
      </c>
      <c r="AT27" s="79">
        <f t="shared" si="55"/>
        <v>26569024.660172466</v>
      </c>
      <c r="AU27" s="79">
        <f t="shared" si="55"/>
        <v>28153160.511780456</v>
      </c>
      <c r="AV27" s="79">
        <f t="shared" si="55"/>
        <v>29854167.878655121</v>
      </c>
      <c r="AW27" s="79">
        <f t="shared" si="55"/>
        <v>31677890.336559795</v>
      </c>
      <c r="AX27" s="79">
        <f t="shared" si="55"/>
        <v>33005637.091413084</v>
      </c>
      <c r="AY27" s="79">
        <f t="shared" si="55"/>
        <v>34519435.425701961</v>
      </c>
      <c r="AZ27" s="79">
        <f t="shared" si="55"/>
        <v>36175291.817244448</v>
      </c>
      <c r="BA27" s="79">
        <f t="shared" si="55"/>
        <v>37980309.168903232</v>
      </c>
      <c r="BB27" s="79">
        <f t="shared" si="55"/>
        <v>39941945.528684124</v>
      </c>
      <c r="BC27" s="79">
        <f t="shared" si="55"/>
        <v>42068031.84699323</v>
      </c>
      <c r="BD27" s="79">
        <f t="shared" si="55"/>
        <v>44366790.621756963</v>
      </c>
      <c r="BE27" s="79">
        <f t="shared" si="55"/>
        <v>46846855.475798056</v>
      </c>
      <c r="BF27" s="79">
        <f t="shared" si="55"/>
        <v>49517291.713080369</v>
      </c>
      <c r="BG27" s="79">
        <f t="shared" si="55"/>
        <v>52387617.902765974</v>
      </c>
      <c r="BH27" s="79">
        <f t="shared" si="55"/>
        <v>55467828.54247503</v>
      </c>
      <c r="BI27" s="79">
        <f t="shared" si="55"/>
        <v>58768417.854708709</v>
      </c>
    </row>
    <row r="28" spans="1:61"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</row>
    <row r="29" spans="1:61">
      <c r="B29" s="80">
        <f>B27-'Monthly Balance Sheet'!B9</f>
        <v>0</v>
      </c>
      <c r="C29" s="80">
        <f>C27-'Monthly Balance Sheet'!C9</f>
        <v>0</v>
      </c>
      <c r="D29" s="80">
        <f>D27-'Monthly Balance Sheet'!D9</f>
        <v>0</v>
      </c>
      <c r="E29" s="80">
        <f>E27-'Monthly Balance Sheet'!E9</f>
        <v>0</v>
      </c>
      <c r="F29" s="80">
        <f>F27-'Monthly Balance Sheet'!F9</f>
        <v>0</v>
      </c>
      <c r="G29" s="80">
        <f>G27-'Monthly Balance Sheet'!G9</f>
        <v>0</v>
      </c>
      <c r="H29" s="80">
        <f>H27-'Monthly Balance Sheet'!H9</f>
        <v>0</v>
      </c>
      <c r="I29" s="80">
        <f>I27-'Monthly Balance Sheet'!I9</f>
        <v>0</v>
      </c>
      <c r="J29" s="80">
        <f>J27-'Monthly Balance Sheet'!J9</f>
        <v>0</v>
      </c>
      <c r="K29" s="80">
        <f>K27-'Monthly Balance Sheet'!K9</f>
        <v>0</v>
      </c>
      <c r="L29" s="80">
        <f>L27-'Monthly Balance Sheet'!L9</f>
        <v>0</v>
      </c>
      <c r="M29" s="80">
        <f>M27-'Monthly Balance Sheet'!M9</f>
        <v>0</v>
      </c>
      <c r="N29" s="80">
        <f>N27-'Monthly Balance Sheet'!N9</f>
        <v>0</v>
      </c>
      <c r="O29" s="80">
        <f>O27-'Monthly Balance Sheet'!O9</f>
        <v>0</v>
      </c>
      <c r="P29" s="80">
        <f>P27-'Monthly Balance Sheet'!P9</f>
        <v>0</v>
      </c>
      <c r="Q29" s="80">
        <f>Q27-'Monthly Balance Sheet'!Q9</f>
        <v>0</v>
      </c>
      <c r="R29" s="80">
        <f>R27-'Monthly Balance Sheet'!R9</f>
        <v>0</v>
      </c>
      <c r="S29" s="80">
        <f>S27-'Monthly Balance Sheet'!S9</f>
        <v>0</v>
      </c>
      <c r="T29" s="80">
        <f>T27-'Monthly Balance Sheet'!T9</f>
        <v>0</v>
      </c>
      <c r="U29" s="80">
        <f>U27-'Monthly Balance Sheet'!U9</f>
        <v>0</v>
      </c>
      <c r="V29" s="80">
        <f>V27-'Monthly Balance Sheet'!V9</f>
        <v>0</v>
      </c>
      <c r="W29" s="80">
        <f>W27-'Monthly Balance Sheet'!W9</f>
        <v>0</v>
      </c>
      <c r="X29" s="80">
        <f>X27-'Monthly Balance Sheet'!X9</f>
        <v>0</v>
      </c>
      <c r="Y29" s="80">
        <f>Y27-'Monthly Balance Sheet'!Y9</f>
        <v>0</v>
      </c>
      <c r="Z29" s="80">
        <f>Z27-'Monthly Balance Sheet'!Z9</f>
        <v>0</v>
      </c>
      <c r="AA29" s="80">
        <f>AA27-'Monthly Balance Sheet'!AA9</f>
        <v>0</v>
      </c>
      <c r="AB29" s="80">
        <f>AB27-'Monthly Balance Sheet'!AB9</f>
        <v>0</v>
      </c>
      <c r="AC29" s="80">
        <f>AC27-'Monthly Balance Sheet'!AC9</f>
        <v>0</v>
      </c>
      <c r="AD29" s="80">
        <f>AD27-'Monthly Balance Sheet'!AD9</f>
        <v>0</v>
      </c>
      <c r="AE29" s="80">
        <f>AE27-'Monthly Balance Sheet'!AE9</f>
        <v>0</v>
      </c>
      <c r="AF29" s="80">
        <f>AF27-'Monthly Balance Sheet'!AF9</f>
        <v>0</v>
      </c>
      <c r="AG29" s="80">
        <f>AG27-'Monthly Balance Sheet'!AG9</f>
        <v>0</v>
      </c>
      <c r="AH29" s="80">
        <f>AH27-'Monthly Balance Sheet'!AH9</f>
        <v>0</v>
      </c>
      <c r="AI29" s="80">
        <f>AI27-'Monthly Balance Sheet'!AI9</f>
        <v>0</v>
      </c>
      <c r="AJ29" s="80">
        <f>AJ27-'Monthly Balance Sheet'!AJ9</f>
        <v>0</v>
      </c>
      <c r="AK29" s="80">
        <f>AK27-'Monthly Balance Sheet'!AK9</f>
        <v>0</v>
      </c>
      <c r="AL29" s="80">
        <f>AL27-'Monthly Balance Sheet'!AL9</f>
        <v>0</v>
      </c>
      <c r="AM29" s="80">
        <f>AM27-'Monthly Balance Sheet'!AM9</f>
        <v>0</v>
      </c>
      <c r="AN29" s="80">
        <f>AN27-'Monthly Balance Sheet'!AN9</f>
        <v>0</v>
      </c>
      <c r="AO29" s="80">
        <f>AO27-'Monthly Balance Sheet'!AO9</f>
        <v>0</v>
      </c>
      <c r="AP29" s="80">
        <f>AP27-'Monthly Balance Sheet'!AP9</f>
        <v>0</v>
      </c>
      <c r="AQ29" s="80">
        <f>AQ27-'Monthly Balance Sheet'!AQ9</f>
        <v>0</v>
      </c>
      <c r="AR29" s="80">
        <f>AR27-'Monthly Balance Sheet'!AR9</f>
        <v>0</v>
      </c>
      <c r="AS29" s="80">
        <f>AS27-'Monthly Balance Sheet'!AS9</f>
        <v>0</v>
      </c>
      <c r="AT29" s="80">
        <f>AT27-'Monthly Balance Sheet'!AT9</f>
        <v>0</v>
      </c>
      <c r="AU29" s="80">
        <f>AU27-'Monthly Balance Sheet'!AU9</f>
        <v>0</v>
      </c>
      <c r="AV29" s="80">
        <f>AV27-'Monthly Balance Sheet'!AV9</f>
        <v>0</v>
      </c>
      <c r="AW29" s="80">
        <f>AW27-'Monthly Balance Sheet'!AW9</f>
        <v>0</v>
      </c>
      <c r="AX29" s="80">
        <f>AX27-'Monthly Balance Sheet'!AX9</f>
        <v>0</v>
      </c>
      <c r="AY29" s="80">
        <f>AY27-'Monthly Balance Sheet'!AY9</f>
        <v>0</v>
      </c>
      <c r="AZ29" s="80">
        <f>AZ27-'Monthly Balance Sheet'!AZ9</f>
        <v>0</v>
      </c>
      <c r="BA29" s="80">
        <f>BA27-'Monthly Balance Sheet'!BA9</f>
        <v>0</v>
      </c>
      <c r="BB29" s="80">
        <f>BB27-'Monthly Balance Sheet'!BB9</f>
        <v>0</v>
      </c>
      <c r="BC29" s="80">
        <f>BC27-'Monthly Balance Sheet'!BC9</f>
        <v>0</v>
      </c>
      <c r="BD29" s="80">
        <f>BD27-'Monthly Balance Sheet'!BD9</f>
        <v>0</v>
      </c>
      <c r="BE29" s="80">
        <f>BE27-'Monthly Balance Sheet'!BE9</f>
        <v>0</v>
      </c>
      <c r="BF29" s="80">
        <f>BF27-'Monthly Balance Sheet'!BF9</f>
        <v>0</v>
      </c>
      <c r="BG29" s="80">
        <f>BG27-'Monthly Balance Sheet'!BG9</f>
        <v>0</v>
      </c>
      <c r="BH29" s="80">
        <f>BH27-'Monthly Balance Sheet'!BH9</f>
        <v>0</v>
      </c>
      <c r="BI29" s="80">
        <f>BI27-'Monthly Balance Sheet'!BI9</f>
        <v>0</v>
      </c>
    </row>
    <row r="30" spans="1:61"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1"/>
      <c r="AZ30" s="81"/>
      <c r="BA30" s="81"/>
      <c r="BB30" s="81"/>
      <c r="BC30" s="81"/>
      <c r="BD30" s="81"/>
      <c r="BE30" s="81"/>
      <c r="BF30" s="81"/>
      <c r="BG30" s="81"/>
      <c r="BH30" s="81"/>
      <c r="BI30" s="81"/>
    </row>
  </sheetData>
  <pageMargins left="0.7" right="0.7" top="0.75" bottom="0.75" header="0.3" footer="0.3"/>
  <pageSetup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:I38"/>
  <sheetViews>
    <sheetView showGridLines="0" zoomScale="85" zoomScaleNormal="85" workbookViewId="0">
      <selection activeCell="B2" sqref="B2"/>
    </sheetView>
  </sheetViews>
  <sheetFormatPr defaultColWidth="9.109375" defaultRowHeight="15.6"/>
  <cols>
    <col min="1" max="1" width="34.44140625" style="16" customWidth="1"/>
    <col min="2" max="2" width="20.6640625" style="16" customWidth="1"/>
    <col min="3" max="3" width="18.44140625" style="16" customWidth="1"/>
    <col min="4" max="4" width="16.44140625" style="16" customWidth="1"/>
    <col min="5" max="5" width="16.5546875" style="16" customWidth="1"/>
    <col min="6" max="6" width="16.44140625" style="16" customWidth="1"/>
    <col min="7" max="7" width="16.6640625" style="16" customWidth="1"/>
    <col min="8" max="8" width="17.88671875" style="16" customWidth="1"/>
    <col min="9" max="16384" width="9.109375" style="16"/>
  </cols>
  <sheetData>
    <row r="1" spans="1:8" ht="25.8">
      <c r="A1" s="38" t="s">
        <v>219</v>
      </c>
      <c r="B1" s="39" t="s">
        <v>220</v>
      </c>
    </row>
    <row r="2" spans="1:8">
      <c r="A2" s="16" t="s">
        <v>221</v>
      </c>
      <c r="B2" s="40">
        <v>1.17</v>
      </c>
      <c r="C2" s="41" t="s">
        <v>222</v>
      </c>
    </row>
    <row r="3" spans="1:8">
      <c r="A3" s="16" t="s">
        <v>223</v>
      </c>
      <c r="B3" s="42">
        <v>3.5000000000000003E-2</v>
      </c>
      <c r="C3" s="41" t="s">
        <v>224</v>
      </c>
    </row>
    <row r="4" spans="1:8">
      <c r="A4" s="16" t="s">
        <v>225</v>
      </c>
      <c r="B4" s="42">
        <v>5.5E-2</v>
      </c>
      <c r="C4" s="43"/>
      <c r="D4" s="44"/>
    </row>
    <row r="5" spans="1:8">
      <c r="A5" s="16" t="s">
        <v>226</v>
      </c>
      <c r="B5" s="45">
        <f>'Balance Sheet'!F17</f>
        <v>0</v>
      </c>
    </row>
    <row r="6" spans="1:8">
      <c r="A6" s="16" t="s">
        <v>227</v>
      </c>
      <c r="B6" s="45">
        <f>SUM('Balance Sheet'!F20:F22)</f>
        <v>65936535.276465073</v>
      </c>
    </row>
    <row r="7" spans="1:8">
      <c r="A7" s="16" t="s">
        <v>228</v>
      </c>
      <c r="B7" s="46">
        <f>B6/(B6+B5)</f>
        <v>1</v>
      </c>
    </row>
    <row r="8" spans="1:8">
      <c r="A8" s="16" t="s">
        <v>229</v>
      </c>
      <c r="B8" s="46">
        <f>B5/(B6+B5)</f>
        <v>0</v>
      </c>
    </row>
    <row r="9" spans="1:8">
      <c r="B9" s="47"/>
    </row>
    <row r="10" spans="1:8">
      <c r="A10" s="16" t="s">
        <v>230</v>
      </c>
      <c r="B10" s="46">
        <f>B3+B2*(B4-B3)</f>
        <v>5.8399999999999994E-2</v>
      </c>
    </row>
    <row r="11" spans="1:8">
      <c r="A11" s="16" t="s">
        <v>231</v>
      </c>
      <c r="B11" s="48">
        <f>'Loan Schedule'!B3</f>
        <v>0.115</v>
      </c>
    </row>
    <row r="13" spans="1:8">
      <c r="A13" s="49" t="s">
        <v>232</v>
      </c>
      <c r="B13" s="50">
        <f>B10*B7+B11*B8</f>
        <v>5.8399999999999994E-2</v>
      </c>
    </row>
    <row r="16" spans="1:8">
      <c r="A16" s="51"/>
      <c r="B16" s="51"/>
      <c r="C16" s="52" t="s">
        <v>233</v>
      </c>
      <c r="D16" s="53">
        <v>1</v>
      </c>
      <c r="E16" s="53">
        <v>2</v>
      </c>
      <c r="F16" s="53">
        <v>3</v>
      </c>
      <c r="G16" s="53">
        <v>4</v>
      </c>
      <c r="H16" s="53">
        <v>5</v>
      </c>
    </row>
    <row r="17" spans="1:9">
      <c r="A17" s="16" t="s">
        <v>234</v>
      </c>
      <c r="D17" s="54">
        <f>'Income Statement'!B31</f>
        <v>419894.20819452702</v>
      </c>
      <c r="E17" s="54">
        <f>'Income Statement'!C31</f>
        <v>3122329.2637812458</v>
      </c>
      <c r="F17" s="54">
        <f>'Income Statement'!D31</f>
        <v>8326509.6145667545</v>
      </c>
      <c r="G17" s="54">
        <f>'Income Statement'!E31</f>
        <v>15610395.714085052</v>
      </c>
      <c r="H17" s="54">
        <f>'Income Statement'!F31</f>
        <v>28457406.475837495</v>
      </c>
      <c r="I17" s="57"/>
    </row>
    <row r="18" spans="1:9">
      <c r="A18" s="16" t="s">
        <v>235</v>
      </c>
      <c r="D18" s="54">
        <f>'Income Statement'!B25</f>
        <v>133500</v>
      </c>
      <c r="E18" s="54">
        <f>'Income Statement'!C25</f>
        <v>133500</v>
      </c>
      <c r="F18" s="54">
        <f>'Income Statement'!D25</f>
        <v>133500</v>
      </c>
      <c r="G18" s="54">
        <f>'Income Statement'!E25</f>
        <v>133500</v>
      </c>
      <c r="H18" s="54">
        <f>'Income Statement'!F25</f>
        <v>133500</v>
      </c>
      <c r="I18" s="57"/>
    </row>
    <row r="19" spans="1:9">
      <c r="A19" s="16" t="s">
        <v>236</v>
      </c>
      <c r="D19" s="55">
        <v>0</v>
      </c>
      <c r="E19" s="55">
        <f>D19</f>
        <v>0</v>
      </c>
      <c r="F19" s="55">
        <f t="shared" ref="F19:H19" si="0">E19</f>
        <v>0</v>
      </c>
      <c r="G19" s="55">
        <f t="shared" si="0"/>
        <v>0</v>
      </c>
      <c r="H19" s="55">
        <f t="shared" si="0"/>
        <v>0</v>
      </c>
      <c r="I19" s="57"/>
    </row>
    <row r="20" spans="1:9">
      <c r="A20" s="49" t="s">
        <v>237</v>
      </c>
      <c r="D20" s="56">
        <f>IFERROR(SUM(D17:D19),"")</f>
        <v>553394.20819452708</v>
      </c>
      <c r="E20" s="56">
        <f>IFERROR(SUM(E17:E19),"")</f>
        <v>3255829.2637812458</v>
      </c>
      <c r="F20" s="56">
        <f>IFERROR(SUM(F17:F19),"")</f>
        <v>8460009.6145667545</v>
      </c>
      <c r="G20" s="56">
        <f>IFERROR(SUM(G17:G19),"")</f>
        <v>15743895.714085052</v>
      </c>
      <c r="H20" s="56">
        <f>IFERROR(SUM(H17:H19),"")</f>
        <v>28590906.475837495</v>
      </c>
      <c r="I20" s="57"/>
    </row>
    <row r="21" spans="1:9">
      <c r="D21" s="57"/>
      <c r="E21" s="57"/>
      <c r="F21" s="57"/>
      <c r="G21" s="57"/>
      <c r="H21" s="57"/>
      <c r="I21" s="57"/>
    </row>
    <row r="22" spans="1:9">
      <c r="A22" s="49" t="s">
        <v>238</v>
      </c>
      <c r="D22" s="58">
        <f>1/((1+$B$24)^D16)</f>
        <v>0.94482237339380193</v>
      </c>
      <c r="E22" s="58">
        <f>1/((1+$B$24)^E16)</f>
        <v>0.89268931726549683</v>
      </c>
      <c r="F22" s="58">
        <f>1/((1+$B$24)^F16)</f>
        <v>0.84343283944207936</v>
      </c>
      <c r="G22" s="58">
        <f>1/((1+$B$24)^G16)</f>
        <v>0.79689421715993902</v>
      </c>
      <c r="H22" s="58">
        <f>1/((1+$B$24)^H16)</f>
        <v>0.75292348560084932</v>
      </c>
    </row>
    <row r="23" spans="1:9">
      <c r="D23" s="59"/>
      <c r="E23" s="59"/>
      <c r="F23" s="59"/>
      <c r="G23" s="59"/>
      <c r="H23" s="59"/>
    </row>
    <row r="24" spans="1:9">
      <c r="A24" s="49" t="s">
        <v>239</v>
      </c>
      <c r="B24" s="60">
        <f>B13</f>
        <v>5.8399999999999994E-2</v>
      </c>
      <c r="C24" s="61">
        <f>-'Use of Proceeds'!B20</f>
        <v>-10000000</v>
      </c>
      <c r="D24" s="62">
        <f>IFERROR(D20*D22,"")</f>
        <v>522859.2292087368</v>
      </c>
      <c r="E24" s="62">
        <f>IFERROR(E20*E22,"")</f>
        <v>2906444.0026179054</v>
      </c>
      <c r="F24" s="62">
        <f>IFERROR(F20*F22,"")</f>
        <v>7135449.9309213292</v>
      </c>
      <c r="G24" s="62">
        <f>IFERROR(G20*G22,"")</f>
        <v>12546219.450123526</v>
      </c>
      <c r="H24" s="62">
        <f>IFERROR(H20*H22,"")</f>
        <v>21526764.96027546</v>
      </c>
    </row>
    <row r="25" spans="1:9">
      <c r="C25" s="57"/>
      <c r="D25" s="57"/>
      <c r="E25" s="57"/>
      <c r="F25" s="57"/>
      <c r="G25" s="57"/>
      <c r="H25" s="57"/>
    </row>
    <row r="26" spans="1:9">
      <c r="A26" s="49" t="s">
        <v>240</v>
      </c>
      <c r="B26" s="62">
        <f>SUM(D24:H24)+C24</f>
        <v>34637737.573146954</v>
      </c>
    </row>
    <row r="27" spans="1:9">
      <c r="A27" s="49"/>
      <c r="B27" s="56"/>
    </row>
    <row r="28" spans="1:9">
      <c r="A28" s="49" t="s">
        <v>241</v>
      </c>
      <c r="B28" s="63">
        <f>IRR(C24:H24)</f>
        <v>0.46081007269554775</v>
      </c>
      <c r="D28" s="64"/>
    </row>
    <row r="30" spans="1:9">
      <c r="A30" s="16" t="s">
        <v>242</v>
      </c>
      <c r="B30" s="65">
        <v>1.2500000000000001E-2</v>
      </c>
    </row>
    <row r="32" spans="1:9">
      <c r="A32" s="16" t="s">
        <v>243</v>
      </c>
      <c r="B32" s="54">
        <f>IFERROR(SUM(D24:H24),"")</f>
        <v>44637737.573146954</v>
      </c>
    </row>
    <row r="33" spans="1:2">
      <c r="B33" s="54"/>
    </row>
    <row r="34" spans="1:2">
      <c r="A34" s="16" t="s">
        <v>244</v>
      </c>
      <c r="B34" s="54">
        <f>((H24*(1+B30))/(B24-B30))</f>
        <v>474855109.41784102</v>
      </c>
    </row>
    <row r="35" spans="1:2">
      <c r="B35" s="54"/>
    </row>
    <row r="36" spans="1:2">
      <c r="A36" s="66" t="s">
        <v>245</v>
      </c>
      <c r="B36" s="62">
        <f>IFERROR(B34+B32,"")</f>
        <v>519492846.99098796</v>
      </c>
    </row>
    <row r="37" spans="1:2">
      <c r="B37" s="67"/>
    </row>
    <row r="38" spans="1:2">
      <c r="B38" s="54"/>
    </row>
  </sheetData>
  <hyperlinks>
    <hyperlink ref="C2" r:id="rId1" xr:uid="{00000000-0004-0000-1000-000000000000}"/>
    <hyperlink ref="C3" r:id="rId2" xr:uid="{00000000-0004-0000-1000-00000100000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/>
  <dimension ref="A1:I25"/>
  <sheetViews>
    <sheetView showGridLines="0" zoomScale="85" zoomScaleNormal="85" workbookViewId="0">
      <selection activeCell="A3" sqref="A3"/>
    </sheetView>
  </sheetViews>
  <sheetFormatPr defaultColWidth="9" defaultRowHeight="14.4"/>
  <cols>
    <col min="1" max="1" width="42.33203125" customWidth="1"/>
    <col min="2" max="2" width="15.44140625" customWidth="1"/>
    <col min="3" max="3" width="15.109375" customWidth="1"/>
    <col min="4" max="4" width="14.6640625" customWidth="1"/>
    <col min="5" max="6" width="16.44140625" customWidth="1"/>
    <col min="8" max="8" width="11.44140625" customWidth="1"/>
  </cols>
  <sheetData>
    <row r="1" spans="1:9">
      <c r="A1" s="320" t="s">
        <v>246</v>
      </c>
      <c r="B1" s="320"/>
      <c r="C1" s="320"/>
      <c r="D1" s="320"/>
      <c r="E1" s="320"/>
      <c r="F1" s="320"/>
    </row>
    <row r="2" spans="1:9" ht="28.8">
      <c r="A2" s="321" t="s">
        <v>247</v>
      </c>
      <c r="B2" s="321"/>
      <c r="C2" s="321"/>
      <c r="D2" s="321"/>
      <c r="E2" s="321"/>
      <c r="F2" s="321"/>
    </row>
    <row r="3" spans="1:9" ht="17.399999999999999">
      <c r="A3" s="27" t="s">
        <v>173</v>
      </c>
      <c r="B3" s="28" t="s">
        <v>1</v>
      </c>
      <c r="C3" s="28" t="s">
        <v>2</v>
      </c>
      <c r="D3" s="28" t="s">
        <v>3</v>
      </c>
      <c r="E3" s="28" t="s">
        <v>4</v>
      </c>
      <c r="F3" s="28" t="s">
        <v>5</v>
      </c>
      <c r="H3" s="29" t="s">
        <v>247</v>
      </c>
      <c r="I3" s="37">
        <v>0</v>
      </c>
    </row>
    <row r="4" spans="1:9" ht="15.6">
      <c r="A4" s="278" t="str">
        <f>'Income Statement'!A3</f>
        <v>Revenue</v>
      </c>
      <c r="B4" s="279">
        <f>IF($A$2=$H$3,'Income Statement'!B3,IF('Sensitivity Analysis'!$A$2='Sensitivity Analysis'!$H$4,'Income Statement'!B3*(1+'Sensitivity Analysis'!$I$4),IF('Sensitivity Analysis'!$A$2='Sensitivity Analysis'!$H$5,'Income Statement'!B3*(1+'Sensitivity Analysis'!$I$5))))</f>
        <v>3725407.7599040661</v>
      </c>
      <c r="C4" s="279">
        <f>IF($A$2=$H$3,'Income Statement'!C3,IF('Sensitivity Analysis'!$A$2='Sensitivity Analysis'!$H$4,'Income Statement'!C3*(1+'Sensitivity Analysis'!$I$4),IF('Sensitivity Analysis'!$A$2='Sensitivity Analysis'!$H$5,'Income Statement'!C3*(1+'Sensitivity Analysis'!$I$5))))</f>
        <v>11220280.877145521</v>
      </c>
      <c r="D4" s="279">
        <f>IF($A$2=$H$3,'Income Statement'!D3,IF('Sensitivity Analysis'!$A$2='Sensitivity Analysis'!$H$4,'Income Statement'!D3*(1+'Sensitivity Analysis'!$I$4),IF('Sensitivity Analysis'!$A$2='Sensitivity Analysis'!$H$5,'Income Statement'!D3*(1+'Sensitivity Analysis'!$I$5))))</f>
        <v>25019724.549606074</v>
      </c>
      <c r="E4" s="279">
        <f>IF($A$2=$H$3,'Income Statement'!E3,IF('Sensitivity Analysis'!$A$2='Sensitivity Analysis'!$H$4,'Income Statement'!E3*(1+'Sensitivity Analysis'!$I$4),IF('Sensitivity Analysis'!$A$2='Sensitivity Analysis'!$H$5,'Income Statement'!E3*(1+'Sensitivity Analysis'!$I$5))))</f>
        <v>44931830.607741259</v>
      </c>
      <c r="F4" s="279">
        <f>IF($A$2=$H$3,'Income Statement'!F3,IF('Sensitivity Analysis'!$A$2='Sensitivity Analysis'!$H$4,'Income Statement'!F3*(1+'Sensitivity Analysis'!$I$4),IF('Sensitivity Analysis'!$A$2='Sensitivity Analysis'!$H$5,'Income Statement'!F3*(1+'Sensitivity Analysis'!$I$5))))</f>
        <v>80691112.236666903</v>
      </c>
      <c r="H4" s="29" t="s">
        <v>248</v>
      </c>
      <c r="I4" s="37">
        <v>-0.25</v>
      </c>
    </row>
    <row r="5" spans="1:9" ht="15.6">
      <c r="A5" s="278" t="str">
        <f>'Income Statement'!A4</f>
        <v>Cost Of Goods Sold</v>
      </c>
      <c r="B5" s="279">
        <f>IF($A$2=$H$3,'Income Statement'!B4,IF('Sensitivity Analysis'!$A$2='Sensitivity Analysis'!$H$4,'Income Statement'!B4*(1+'Sensitivity Analysis'!$I$4),IF('Sensitivity Analysis'!$A$2='Sensitivity Analysis'!$H$5,'Income Statement'!B4*(1+'Sensitivity Analysis'!$I$5))))</f>
        <v>1229384.5607683416</v>
      </c>
      <c r="C5" s="279">
        <f>IF($A$2=$H$3,'Income Statement'!C4,IF('Sensitivity Analysis'!$A$2='Sensitivity Analysis'!$H$4,'Income Statement'!C4*(1+'Sensitivity Analysis'!$I$4),IF('Sensitivity Analysis'!$A$2='Sensitivity Analysis'!$H$5,'Income Statement'!C4*(1+'Sensitivity Analysis'!$I$5))))</f>
        <v>4237299.7836382724</v>
      </c>
      <c r="D5" s="279">
        <f>IF($A$2=$H$3,'Income Statement'!D4,IF('Sensitivity Analysis'!$A$2='Sensitivity Analysis'!$H$4,'Income Statement'!D4*(1+'Sensitivity Analysis'!$I$4),IF('Sensitivity Analysis'!$A$2='Sensitivity Analysis'!$H$5,'Income Statement'!D4*(1+'Sensitivity Analysis'!$I$5))))</f>
        <v>9448611.3655744642</v>
      </c>
      <c r="E5" s="279">
        <f>IF($A$2=$H$3,'Income Statement'!E4,IF('Sensitivity Analysis'!$A$2='Sensitivity Analysis'!$H$4,'Income Statement'!E4*(1+'Sensitivity Analysis'!$I$4),IF('Sensitivity Analysis'!$A$2='Sensitivity Analysis'!$H$5,'Income Statement'!E4*(1+'Sensitivity Analysis'!$I$5))))</f>
        <v>16968348.4929915</v>
      </c>
      <c r="F5" s="279">
        <f>IF($A$2=$H$3,'Income Statement'!F4,IF('Sensitivity Analysis'!$A$2='Sensitivity Analysis'!$H$4,'Income Statement'!F4*(1+'Sensitivity Analysis'!$I$4),IF('Sensitivity Analysis'!$A$2='Sensitivity Analysis'!$H$5,'Income Statement'!F4*(1+'Sensitivity Analysis'!$I$5))))</f>
        <v>30472715.983286858</v>
      </c>
      <c r="H5" s="29" t="s">
        <v>249</v>
      </c>
      <c r="I5" s="37">
        <v>0.25</v>
      </c>
    </row>
    <row r="6" spans="1:9" ht="15.6">
      <c r="A6" s="278" t="str">
        <f>'Income Statement'!A5</f>
        <v>Gross Profit</v>
      </c>
      <c r="B6" s="279">
        <f>IF($A$2=$H$3,'Income Statement'!B5,IF('Sensitivity Analysis'!$A$2='Sensitivity Analysis'!$H$4,'Income Statement'!B5*(1+'Sensitivity Analysis'!$I$4),IF('Sensitivity Analysis'!$A$2='Sensitivity Analysis'!$H$5,'Income Statement'!B5*(1+'Sensitivity Analysis'!$I$5))))</f>
        <v>2496023.199135724</v>
      </c>
      <c r="C6" s="279">
        <f>IF($A$2=$H$3,'Income Statement'!C5,IF('Sensitivity Analysis'!$A$2='Sensitivity Analysis'!$H$4,'Income Statement'!C5*(1+'Sensitivity Analysis'!$I$4),IF('Sensitivity Analysis'!$A$2='Sensitivity Analysis'!$H$5,'Income Statement'!C5*(1+'Sensitivity Analysis'!$I$5))))</f>
        <v>6982981.0935072489</v>
      </c>
      <c r="D6" s="279">
        <f>IF($A$2=$H$3,'Income Statement'!D5,IF('Sensitivity Analysis'!$A$2='Sensitivity Analysis'!$H$4,'Income Statement'!D5*(1+'Sensitivity Analysis'!$I$4),IF('Sensitivity Analysis'!$A$2='Sensitivity Analysis'!$H$5,'Income Statement'!D5*(1+'Sensitivity Analysis'!$I$5))))</f>
        <v>15571113.184031609</v>
      </c>
      <c r="E6" s="279">
        <f>IF($A$2=$H$3,'Income Statement'!E5,IF('Sensitivity Analysis'!$A$2='Sensitivity Analysis'!$H$4,'Income Statement'!E5*(1+'Sensitivity Analysis'!$I$4),IF('Sensitivity Analysis'!$A$2='Sensitivity Analysis'!$H$5,'Income Statement'!E5*(1+'Sensitivity Analysis'!$I$5))))</f>
        <v>27963482.114749759</v>
      </c>
      <c r="F6" s="279">
        <f>IF($A$2=$H$3,'Income Statement'!F5,IF('Sensitivity Analysis'!$A$2='Sensitivity Analysis'!$H$4,'Income Statement'!F5*(1+'Sensitivity Analysis'!$I$4),IF('Sensitivity Analysis'!$A$2='Sensitivity Analysis'!$H$5,'Income Statement'!F5*(1+'Sensitivity Analysis'!$I$5))))</f>
        <v>50218396.253380038</v>
      </c>
      <c r="H6" s="312"/>
      <c r="I6" s="313"/>
    </row>
    <row r="7" spans="1:9" ht="15.6">
      <c r="A7" s="278"/>
      <c r="B7" s="279"/>
      <c r="C7" s="279"/>
      <c r="D7" s="279"/>
      <c r="E7" s="279"/>
      <c r="F7" s="279"/>
      <c r="H7" s="312"/>
      <c r="I7" s="313"/>
    </row>
    <row r="8" spans="1:9" ht="15.6">
      <c r="A8" s="35" t="str">
        <f>'Income Statement'!A7</f>
        <v>Operating Expenses:</v>
      </c>
      <c r="B8" s="33"/>
      <c r="C8" s="33"/>
      <c r="D8" s="33"/>
      <c r="E8" s="33"/>
      <c r="F8" s="33"/>
    </row>
    <row r="9" spans="1:9" ht="15.6">
      <c r="A9" s="34" t="str">
        <f>'Income Statement'!A8</f>
        <v>Payroll</v>
      </c>
      <c r="B9" s="33">
        <f>IF($A$2=$H$3,'Income Statement'!B8,IF('Sensitivity Analysis'!$A$2='Sensitivity Analysis'!$H$4,'Income Statement'!B8*(1+'Sensitivity Analysis'!$I$4),IF('Sensitivity Analysis'!$A$2='Sensitivity Analysis'!$H$5,'Income Statement'!B8*(1+'Sensitivity Analysis'!$I$5))))</f>
        <v>951033</v>
      </c>
      <c r="C9" s="33">
        <f>IF($A$2=$H$3,'Income Statement'!C8,IF('Sensitivity Analysis'!$A$2='Sensitivity Analysis'!$H$4,'Income Statement'!C8*(1+'Sensitivity Analysis'!$I$4),IF('Sensitivity Analysis'!$A$2='Sensitivity Analysis'!$H$5,'Income Statement'!C8*(1+'Sensitivity Analysis'!$I$5))))</f>
        <v>1059585.9083333337</v>
      </c>
      <c r="D9" s="33">
        <f>IF($A$2=$H$3,'Income Statement'!D8,IF('Sensitivity Analysis'!$A$2='Sensitivity Analysis'!$H$4,'Income Statement'!D8*(1+'Sensitivity Analysis'!$I$4),IF('Sensitivity Analysis'!$A$2='Sensitivity Analysis'!$H$5,'Income Statement'!D8*(1+'Sensitivity Analysis'!$I$5))))</f>
        <v>1233854.0775000001</v>
      </c>
      <c r="E9" s="33">
        <f>IF($A$2=$H$3,'Income Statement'!E8,IF('Sensitivity Analysis'!$A$2='Sensitivity Analysis'!$H$4,'Income Statement'!E8*(1+'Sensitivity Analysis'!$I$4),IF('Sensitivity Analysis'!$A$2='Sensitivity Analysis'!$H$5,'Income Statement'!E8*(1+'Sensitivity Analysis'!$I$5))))</f>
        <v>1297355.8134166666</v>
      </c>
      <c r="F9" s="33">
        <f>IF($A$2=$H$3,'Income Statement'!F8,IF('Sensitivity Analysis'!$A$2='Sensitivity Analysis'!$H$4,'Income Statement'!F8*(1+'Sensitivity Analysis'!$I$4),IF('Sensitivity Analysis'!$A$2='Sensitivity Analysis'!$H$5,'Income Statement'!F8*(1+'Sensitivity Analysis'!$I$5))))</f>
        <v>1363187.1915750001</v>
      </c>
    </row>
    <row r="10" spans="1:9" ht="15.6">
      <c r="A10" s="34" t="str">
        <f>'Income Statement'!A9</f>
        <v>Rent &amp; Utilities</v>
      </c>
      <c r="B10" s="33">
        <f>IF($A$2=$H$3,'Income Statement'!B9,IF('Sensitivity Analysis'!$A$2='Sensitivity Analysis'!$H$4,'Income Statement'!B9*(1+'Sensitivity Analysis'!$I$4),IF('Sensitivity Analysis'!$A$2='Sensitivity Analysis'!$H$5,'Income Statement'!B9*(1+'Sensitivity Analysis'!$I$5))))</f>
        <v>192000</v>
      </c>
      <c r="C10" s="33">
        <f>IF($A$2=$H$3,'Income Statement'!C9,IF('Sensitivity Analysis'!$A$2='Sensitivity Analysis'!$H$4,'Income Statement'!C9*(1+'Sensitivity Analysis'!$I$4),IF('Sensitivity Analysis'!$A$2='Sensitivity Analysis'!$H$5,'Income Statement'!C9*(1+'Sensitivity Analysis'!$I$5))))</f>
        <v>197760</v>
      </c>
      <c r="D10" s="33">
        <f>IF($A$2=$H$3,'Income Statement'!D9,IF('Sensitivity Analysis'!$A$2='Sensitivity Analysis'!$H$4,'Income Statement'!D9*(1+'Sensitivity Analysis'!$I$4),IF('Sensitivity Analysis'!$A$2='Sensitivity Analysis'!$H$5,'Income Statement'!D9*(1+'Sensitivity Analysis'!$I$5))))</f>
        <v>203692.79999999996</v>
      </c>
      <c r="E10" s="33">
        <f>IF($A$2=$H$3,'Income Statement'!E9,IF('Sensitivity Analysis'!$A$2='Sensitivity Analysis'!$H$4,'Income Statement'!E9*(1+'Sensitivity Analysis'!$I$4),IF('Sensitivity Analysis'!$A$2='Sensitivity Analysis'!$H$5,'Income Statement'!E9*(1+'Sensitivity Analysis'!$I$5))))</f>
        <v>209803.58400000006</v>
      </c>
      <c r="F10" s="33">
        <f>IF($A$2=$H$3,'Income Statement'!F9,IF('Sensitivity Analysis'!$A$2='Sensitivity Analysis'!$H$4,'Income Statement'!F9*(1+'Sensitivity Analysis'!$I$4),IF('Sensitivity Analysis'!$A$2='Sensitivity Analysis'!$H$5,'Income Statement'!F9*(1+'Sensitivity Analysis'!$I$5))))</f>
        <v>216097.69151999996</v>
      </c>
    </row>
    <row r="11" spans="1:9" ht="15" customHeight="1">
      <c r="A11" s="34" t="str">
        <f>'Income Statement'!A10</f>
        <v>Regulatory &amp; Compliance</v>
      </c>
      <c r="B11" s="33">
        <f>IF($A$2=$H$3,'Income Statement'!B10,IF('Sensitivity Analysis'!$A$2='Sensitivity Analysis'!$H$4,'Income Statement'!B10*(1+'Sensitivity Analysis'!$I$4),IF('Sensitivity Analysis'!$A$2='Sensitivity Analysis'!$H$5,'Income Statement'!B10*(1+'Sensitivity Analysis'!$I$5))))</f>
        <v>109200</v>
      </c>
      <c r="C11" s="33">
        <f>IF($A$2=$H$3,'Income Statement'!C10,IF('Sensitivity Analysis'!$A$2='Sensitivity Analysis'!$H$4,'Income Statement'!C10*(1+'Sensitivity Analysis'!$I$4),IF('Sensitivity Analysis'!$A$2='Sensitivity Analysis'!$H$5,'Income Statement'!C10*(1+'Sensitivity Analysis'!$I$5))))</f>
        <v>218400</v>
      </c>
      <c r="D11" s="33">
        <f>IF($A$2=$H$3,'Income Statement'!D10,IF('Sensitivity Analysis'!$A$2='Sensitivity Analysis'!$H$4,'Income Statement'!D10*(1+'Sensitivity Analysis'!$I$4),IF('Sensitivity Analysis'!$A$2='Sensitivity Analysis'!$H$5,'Income Statement'!D10*(1+'Sensitivity Analysis'!$I$5))))</f>
        <v>436800</v>
      </c>
      <c r="E11" s="33">
        <f>IF($A$2=$H$3,'Income Statement'!E10,IF('Sensitivity Analysis'!$A$2='Sensitivity Analysis'!$H$4,'Income Statement'!E10*(1+'Sensitivity Analysis'!$I$4),IF('Sensitivity Analysis'!$A$2='Sensitivity Analysis'!$H$5,'Income Statement'!E10*(1+'Sensitivity Analysis'!$I$5))))</f>
        <v>873600</v>
      </c>
      <c r="F11" s="33">
        <f>IF($A$2=$H$3,'Income Statement'!F10,IF('Sensitivity Analysis'!$A$2='Sensitivity Analysis'!$H$4,'Income Statement'!F10*(1+'Sensitivity Analysis'!$I$4),IF('Sensitivity Analysis'!$A$2='Sensitivity Analysis'!$H$5,'Income Statement'!F10*(1+'Sensitivity Analysis'!$I$5))))</f>
        <v>1747200</v>
      </c>
    </row>
    <row r="12" spans="1:9" ht="15.6">
      <c r="A12" s="34" t="str">
        <f>'Income Statement'!A11</f>
        <v>Maintenance &amp; Equipment Upkeep</v>
      </c>
      <c r="B12" s="33">
        <f>IF($A$2=$H$3,'Income Statement'!B11,IF('Sensitivity Analysis'!$A$2='Sensitivity Analysis'!$H$4,'Income Statement'!B11*(1+'Sensitivity Analysis'!$I$4),IF('Sensitivity Analysis'!$A$2='Sensitivity Analysis'!$H$5,'Income Statement'!B11*(1+'Sensitivity Analysis'!$I$5))))</f>
        <v>138000</v>
      </c>
      <c r="C12" s="33">
        <f>IF($A$2=$H$3,'Income Statement'!C11,IF('Sensitivity Analysis'!$A$2='Sensitivity Analysis'!$H$4,'Income Statement'!C11*(1+'Sensitivity Analysis'!$I$4),IF('Sensitivity Analysis'!$A$2='Sensitivity Analysis'!$H$5,'Income Statement'!C11*(1+'Sensitivity Analysis'!$I$5))))</f>
        <v>276000</v>
      </c>
      <c r="D12" s="33">
        <f>IF($A$2=$H$3,'Income Statement'!D11,IF('Sensitivity Analysis'!$A$2='Sensitivity Analysis'!$H$4,'Income Statement'!D11*(1+'Sensitivity Analysis'!$I$4),IF('Sensitivity Analysis'!$A$2='Sensitivity Analysis'!$H$5,'Income Statement'!D11*(1+'Sensitivity Analysis'!$I$5))))</f>
        <v>552000</v>
      </c>
      <c r="E12" s="33">
        <f>IF($A$2=$H$3,'Income Statement'!E11,IF('Sensitivity Analysis'!$A$2='Sensitivity Analysis'!$H$4,'Income Statement'!E11*(1+'Sensitivity Analysis'!$I$4),IF('Sensitivity Analysis'!$A$2='Sensitivity Analysis'!$H$5,'Income Statement'!E11*(1+'Sensitivity Analysis'!$I$5))))</f>
        <v>1104000</v>
      </c>
      <c r="F12" s="33">
        <f>IF($A$2=$H$3,'Income Statement'!F11,IF('Sensitivity Analysis'!$A$2='Sensitivity Analysis'!$H$4,'Income Statement'!F11*(1+'Sensitivity Analysis'!$I$4),IF('Sensitivity Analysis'!$A$2='Sensitivity Analysis'!$H$5,'Income Statement'!F11*(1+'Sensitivity Analysis'!$I$5))))</f>
        <v>2208000</v>
      </c>
    </row>
    <row r="13" spans="1:9" ht="15.6">
      <c r="A13" s="34" t="str">
        <f>'Income Statement'!A12</f>
        <v>Insurance &amp; Security</v>
      </c>
      <c r="B13" s="33">
        <f>IF($A$2=$H$3,'Income Statement'!B12,IF('Sensitivity Analysis'!$A$2='Sensitivity Analysis'!$H$4,'Income Statement'!B12*(1+'Sensitivity Analysis'!$I$4),IF('Sensitivity Analysis'!$A$2='Sensitivity Analysis'!$H$5,'Income Statement'!B12*(1+'Sensitivity Analysis'!$I$5))))</f>
        <v>96000</v>
      </c>
      <c r="C13" s="33">
        <f>IF($A$2=$H$3,'Income Statement'!C12,IF('Sensitivity Analysis'!$A$2='Sensitivity Analysis'!$H$4,'Income Statement'!C12*(1+'Sensitivity Analysis'!$I$4),IF('Sensitivity Analysis'!$A$2='Sensitivity Analysis'!$H$5,'Income Statement'!C12*(1+'Sensitivity Analysis'!$I$5))))</f>
        <v>192000</v>
      </c>
      <c r="D13" s="33">
        <f>IF($A$2=$H$3,'Income Statement'!D12,IF('Sensitivity Analysis'!$A$2='Sensitivity Analysis'!$H$4,'Income Statement'!D12*(1+'Sensitivity Analysis'!$I$4),IF('Sensitivity Analysis'!$A$2='Sensitivity Analysis'!$H$5,'Income Statement'!D12*(1+'Sensitivity Analysis'!$I$5))))</f>
        <v>384000</v>
      </c>
      <c r="E13" s="33">
        <f>IF($A$2=$H$3,'Income Statement'!E12,IF('Sensitivity Analysis'!$A$2='Sensitivity Analysis'!$H$4,'Income Statement'!E12*(1+'Sensitivity Analysis'!$I$4),IF('Sensitivity Analysis'!$A$2='Sensitivity Analysis'!$H$5,'Income Statement'!E12*(1+'Sensitivity Analysis'!$I$5))))</f>
        <v>768000</v>
      </c>
      <c r="F13" s="33">
        <f>IF($A$2=$H$3,'Income Statement'!F12,IF('Sensitivity Analysis'!$A$2='Sensitivity Analysis'!$H$4,'Income Statement'!F12*(1+'Sensitivity Analysis'!$I$4),IF('Sensitivity Analysis'!$A$2='Sensitivity Analysis'!$H$5,'Income Statement'!F12*(1+'Sensitivity Analysis'!$I$5))))</f>
        <v>1536000</v>
      </c>
    </row>
    <row r="14" spans="1:9" ht="15.6">
      <c r="A14" s="34" t="str">
        <f>'Income Statement'!A13</f>
        <v>Marketing &amp; Advertising</v>
      </c>
      <c r="B14" s="33">
        <f>IF($A$2=$H$3,'Income Statement'!B13,IF('Sensitivity Analysis'!$A$2='Sensitivity Analysis'!$H$4,'Income Statement'!B13*(1+'Sensitivity Analysis'!$I$4),IF('Sensitivity Analysis'!$A$2='Sensitivity Analysis'!$H$5,'Income Statement'!B13*(1+'Sensitivity Analysis'!$I$5))))</f>
        <v>260778.54319328463</v>
      </c>
      <c r="C14" s="33">
        <f>IF($A$2=$H$3,'Income Statement'!C13,IF('Sensitivity Analysis'!$A$2='Sensitivity Analysis'!$H$4,'Income Statement'!C13*(1+'Sensitivity Analysis'!$I$4),IF('Sensitivity Analysis'!$A$2='Sensitivity Analysis'!$H$5,'Income Statement'!C13*(1+'Sensitivity Analysis'!$I$5))))</f>
        <v>785419.6614001866</v>
      </c>
      <c r="D14" s="33">
        <f>IF($A$2=$H$3,'Income Statement'!D13,IF('Sensitivity Analysis'!$A$2='Sensitivity Analysis'!$H$4,'Income Statement'!D13*(1+'Sensitivity Analysis'!$I$4),IF('Sensitivity Analysis'!$A$2='Sensitivity Analysis'!$H$5,'Income Statement'!D13*(1+'Sensitivity Analysis'!$I$5))))</f>
        <v>1751380.7184724254</v>
      </c>
      <c r="E14" s="33">
        <f>IF($A$2=$H$3,'Income Statement'!E13,IF('Sensitivity Analysis'!$A$2='Sensitivity Analysis'!$H$4,'Income Statement'!E13*(1+'Sensitivity Analysis'!$I$4),IF('Sensitivity Analysis'!$A$2='Sensitivity Analysis'!$H$5,'Income Statement'!E13*(1+'Sensitivity Analysis'!$I$5))))</f>
        <v>3145228.1425418886</v>
      </c>
      <c r="F14" s="33">
        <f>IF($A$2=$H$3,'Income Statement'!F13,IF('Sensitivity Analysis'!$A$2='Sensitivity Analysis'!$H$4,'Income Statement'!F13*(1+'Sensitivity Analysis'!$I$4),IF('Sensitivity Analysis'!$A$2='Sensitivity Analysis'!$H$5,'Income Statement'!F13*(1+'Sensitivity Analysis'!$I$5))))</f>
        <v>5648377.8565666834</v>
      </c>
    </row>
    <row r="15" spans="1:9" ht="15.6">
      <c r="A15" s="34" t="str">
        <f>'Income Statement'!A14</f>
        <v>R&amp;D &amp; Prototyping</v>
      </c>
      <c r="B15" s="33">
        <f>IF($A$2=$H$3,'Income Statement'!B14,IF('Sensitivity Analysis'!$A$2='Sensitivity Analysis'!$H$4,'Income Statement'!B14*(1+'Sensitivity Analysis'!$I$4),IF('Sensitivity Analysis'!$A$2='Sensitivity Analysis'!$H$5,'Income Statement'!B14*(1+'Sensitivity Analysis'!$I$5))))</f>
        <v>66000</v>
      </c>
      <c r="C15" s="33">
        <f>IF($A$2=$H$3,'Income Statement'!C14,IF('Sensitivity Analysis'!$A$2='Sensitivity Analysis'!$H$4,'Income Statement'!C14*(1+'Sensitivity Analysis'!$I$4),IF('Sensitivity Analysis'!$A$2='Sensitivity Analysis'!$H$5,'Income Statement'!C14*(1+'Sensitivity Analysis'!$I$5))))</f>
        <v>132000</v>
      </c>
      <c r="D15" s="33">
        <f>IF($A$2=$H$3,'Income Statement'!D14,IF('Sensitivity Analysis'!$A$2='Sensitivity Analysis'!$H$4,'Income Statement'!D14*(1+'Sensitivity Analysis'!$I$4),IF('Sensitivity Analysis'!$A$2='Sensitivity Analysis'!$H$5,'Income Statement'!D14*(1+'Sensitivity Analysis'!$I$5))))</f>
        <v>264000</v>
      </c>
      <c r="E15" s="33">
        <f>IF($A$2=$H$3,'Income Statement'!E14,IF('Sensitivity Analysis'!$A$2='Sensitivity Analysis'!$H$4,'Income Statement'!E14*(1+'Sensitivity Analysis'!$I$4),IF('Sensitivity Analysis'!$A$2='Sensitivity Analysis'!$H$5,'Income Statement'!E14*(1+'Sensitivity Analysis'!$I$5))))</f>
        <v>528000</v>
      </c>
      <c r="F15" s="33">
        <f>IF($A$2=$H$3,'Income Statement'!F14,IF('Sensitivity Analysis'!$A$2='Sensitivity Analysis'!$H$4,'Income Statement'!F14*(1+'Sensitivity Analysis'!$I$4),IF('Sensitivity Analysis'!$A$2='Sensitivity Analysis'!$H$5,'Income Statement'!F14*(1+'Sensitivity Analysis'!$I$5))))</f>
        <v>1056000</v>
      </c>
    </row>
    <row r="16" spans="1:9" ht="15.6">
      <c r="A16" s="34" t="str">
        <f>'Income Statement'!A15</f>
        <v>Miscellaneous Expenses</v>
      </c>
      <c r="B16" s="33">
        <f>IF($A$2=$H$3,'Income Statement'!B15,IF('Sensitivity Analysis'!$A$2='Sensitivity Analysis'!$H$4,'Income Statement'!B15*(1+'Sensitivity Analysis'!$I$4),IF('Sensitivity Analysis'!$A$2='Sensitivity Analysis'!$H$5,'Income Statement'!B15*(1+'Sensitivity Analysis'!$I$5))))</f>
        <v>18000</v>
      </c>
      <c r="C16" s="33">
        <f>IF($A$2=$H$3,'Income Statement'!C15,IF('Sensitivity Analysis'!$A$2='Sensitivity Analysis'!$H$4,'Income Statement'!C15*(1+'Sensitivity Analysis'!$I$4),IF('Sensitivity Analysis'!$A$2='Sensitivity Analysis'!$H$5,'Income Statement'!C15*(1+'Sensitivity Analysis'!$I$5))))</f>
        <v>36000</v>
      </c>
      <c r="D16" s="33">
        <f>IF($A$2=$H$3,'Income Statement'!D15,IF('Sensitivity Analysis'!$A$2='Sensitivity Analysis'!$H$4,'Income Statement'!D15*(1+'Sensitivity Analysis'!$I$4),IF('Sensitivity Analysis'!$A$2='Sensitivity Analysis'!$H$5,'Income Statement'!D15*(1+'Sensitivity Analysis'!$I$5))))</f>
        <v>72000</v>
      </c>
      <c r="E16" s="33">
        <f>IF($A$2=$H$3,'Income Statement'!E15,IF('Sensitivity Analysis'!$A$2='Sensitivity Analysis'!$H$4,'Income Statement'!E15*(1+'Sensitivity Analysis'!$I$4),IF('Sensitivity Analysis'!$A$2='Sensitivity Analysis'!$H$5,'Income Statement'!E15*(1+'Sensitivity Analysis'!$I$5))))</f>
        <v>144000</v>
      </c>
      <c r="F16" s="33">
        <f>IF($A$2=$H$3,'Income Statement'!F15,IF('Sensitivity Analysis'!$A$2='Sensitivity Analysis'!$H$4,'Income Statement'!F15*(1+'Sensitivity Analysis'!$I$4),IF('Sensitivity Analysis'!$A$2='Sensitivity Analysis'!$H$5,'Income Statement'!F15*(1+'Sensitivity Analysis'!$I$5))))</f>
        <v>288000</v>
      </c>
    </row>
    <row r="17" spans="1:6" ht="15.6">
      <c r="A17" s="34" t="str">
        <f>'Income Statement'!A21</f>
        <v>Interest Expense</v>
      </c>
      <c r="B17" s="33">
        <f>'Income Statement'!B21</f>
        <v>0</v>
      </c>
      <c r="C17" s="33">
        <f>'Income Statement'!C21</f>
        <v>0</v>
      </c>
      <c r="D17" s="33">
        <f>'Income Statement'!D21</f>
        <v>0</v>
      </c>
      <c r="E17" s="33">
        <f>'Income Statement'!E21</f>
        <v>0</v>
      </c>
      <c r="F17" s="33">
        <f>'Income Statement'!F21</f>
        <v>0</v>
      </c>
    </row>
    <row r="18" spans="1:6" ht="15.6">
      <c r="A18" s="34" t="str">
        <f>'Income Statement'!A25</f>
        <v>Depreciation</v>
      </c>
      <c r="B18" s="33">
        <f>'Income Statement'!B25</f>
        <v>133500</v>
      </c>
      <c r="C18" s="33">
        <f>'Income Statement'!C25</f>
        <v>133500</v>
      </c>
      <c r="D18" s="33">
        <f>'Income Statement'!D25</f>
        <v>133500</v>
      </c>
      <c r="E18" s="33">
        <f>'Income Statement'!E25</f>
        <v>133500</v>
      </c>
      <c r="F18" s="33">
        <f>'Income Statement'!F25</f>
        <v>133500</v>
      </c>
    </row>
    <row r="19" spans="1:6" ht="15.6">
      <c r="A19" s="34" t="str">
        <f>'Income Statement'!A29</f>
        <v>Tax</v>
      </c>
      <c r="B19" s="33">
        <f>'Income Statement'!B29</f>
        <v>111617.44774791233</v>
      </c>
      <c r="C19" s="33">
        <f>'Income Statement'!C29</f>
        <v>829986.25999248319</v>
      </c>
      <c r="D19" s="33">
        <f>'Income Statement'!D29</f>
        <v>2213375.9734924291</v>
      </c>
      <c r="E19" s="33">
        <f>'Income Statement'!E29</f>
        <v>4149598.8607061519</v>
      </c>
      <c r="F19" s="33">
        <f>'Income Statement'!F29</f>
        <v>7564627.0378808556</v>
      </c>
    </row>
    <row r="20" spans="1:6" ht="15.6">
      <c r="A20" s="34"/>
      <c r="B20" s="33"/>
      <c r="C20" s="33"/>
      <c r="D20" s="33"/>
      <c r="E20" s="33"/>
      <c r="F20" s="33"/>
    </row>
    <row r="21" spans="1:6" ht="15.6">
      <c r="A21" s="35" t="str">
        <f>'Income Statement'!A17</f>
        <v>Total Expenses</v>
      </c>
      <c r="B21" s="31">
        <f>SUM(B8:B19)</f>
        <v>2076128.9909411969</v>
      </c>
      <c r="C21" s="31">
        <f>SUM(C8:C19)</f>
        <v>3860651.8297260031</v>
      </c>
      <c r="D21" s="31">
        <f>SUM(D8:D19)</f>
        <v>7244603.5694648549</v>
      </c>
      <c r="E21" s="31">
        <f>SUM(E8:E19)</f>
        <v>12353086.400664708</v>
      </c>
      <c r="F21" s="31">
        <f>SUM(F8:F19)</f>
        <v>21760989.777542539</v>
      </c>
    </row>
    <row r="22" spans="1:6" ht="15.6">
      <c r="A22" s="35"/>
      <c r="B22" s="31"/>
      <c r="C22" s="31"/>
      <c r="D22" s="31"/>
      <c r="E22" s="31"/>
      <c r="F22" s="31"/>
    </row>
    <row r="23" spans="1:6" ht="15.6">
      <c r="A23" s="30" t="str">
        <f>'Income Statement'!A31</f>
        <v>Net Income / (Loss)</v>
      </c>
      <c r="B23" s="31">
        <f>B6-B21</f>
        <v>419894.20819452708</v>
      </c>
      <c r="C23" s="31">
        <f t="shared" ref="C23:F23" si="0">C6-C21</f>
        <v>3122329.2637812458</v>
      </c>
      <c r="D23" s="31">
        <f t="shared" si="0"/>
        <v>8326509.6145667545</v>
      </c>
      <c r="E23" s="31">
        <f t="shared" si="0"/>
        <v>15610395.714085052</v>
      </c>
      <c r="F23" s="31">
        <f t="shared" si="0"/>
        <v>28457406.475837499</v>
      </c>
    </row>
    <row r="24" spans="1:6" ht="15.6">
      <c r="A24" s="32"/>
      <c r="B24" s="31"/>
      <c r="C24" s="31"/>
      <c r="D24" s="31"/>
      <c r="E24" s="31"/>
      <c r="F24" s="31"/>
    </row>
    <row r="25" spans="1:6" ht="15.6">
      <c r="A25" s="30" t="str">
        <f>'Income Statement'!A33</f>
        <v>Net Income/Revenue</v>
      </c>
      <c r="B25" s="36">
        <f>IFERROR(B23/B4,"")</f>
        <v>0.11271093938059008</v>
      </c>
      <c r="C25" s="36">
        <f>IFERROR(C23/C4,"")</f>
        <v>0.27827549933630336</v>
      </c>
      <c r="D25" s="36">
        <f>IFERROR(D23/D4,"")</f>
        <v>0.33279781310373591</v>
      </c>
      <c r="E25" s="36">
        <f>IFERROR(E23/E4,"")</f>
        <v>0.34742398658014062</v>
      </c>
      <c r="F25" s="36">
        <f>IFERROR(F23/F4,"")</f>
        <v>0.35267089134144008</v>
      </c>
    </row>
  </sheetData>
  <mergeCells count="2">
    <mergeCell ref="A1:F1"/>
    <mergeCell ref="A2:F2"/>
  </mergeCells>
  <dataValidations count="1">
    <dataValidation type="list" allowBlank="1" showInputMessage="1" showErrorMessage="1" sqref="A2" xr:uid="{00000000-0002-0000-1100-000000000000}">
      <formula1>"Base Case, Low Case, High Case"</formula1>
    </dataValidation>
  </dataValidations>
  <pageMargins left="0.7" right="0.7" top="0.75" bottom="0.75" header="0.3" footer="0.3"/>
  <pageSetup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0"/>
  <dimension ref="A2:F15"/>
  <sheetViews>
    <sheetView showGridLines="0" zoomScale="85" zoomScaleNormal="85" workbookViewId="0">
      <selection activeCell="A2" sqref="A2"/>
    </sheetView>
  </sheetViews>
  <sheetFormatPr defaultColWidth="9.109375" defaultRowHeight="22.2"/>
  <cols>
    <col min="1" max="1" width="33.109375" style="18" customWidth="1"/>
    <col min="2" max="2" width="18" style="18" customWidth="1"/>
    <col min="3" max="4" width="18.6640625" style="18" customWidth="1"/>
    <col min="5" max="5" width="17.5546875" style="18" customWidth="1"/>
    <col min="6" max="6" width="19.33203125" style="18" customWidth="1"/>
    <col min="7" max="16384" width="9.109375" style="18"/>
  </cols>
  <sheetData>
    <row r="2" spans="1:6" s="17" customFormat="1" ht="31.5" customHeight="1">
      <c r="A2" s="19" t="s">
        <v>250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</row>
    <row r="3" spans="1:6" s="17" customFormat="1" ht="31.5" customHeight="1">
      <c r="A3" s="21" t="s">
        <v>251</v>
      </c>
      <c r="B3" s="22">
        <f>'Income Statement'!B17/'Income Statement'!B3</f>
        <v>0.49149292136558914</v>
      </c>
      <c r="C3" s="22">
        <f>'Income Statement'!C17/'Income Statement'!C3</f>
        <v>0.25820793627677607</v>
      </c>
      <c r="D3" s="22">
        <f>'Income Statement'!D17/'Income Statement'!D3</f>
        <v>0.19575465694123875</v>
      </c>
      <c r="E3" s="22">
        <f>'Income Statement'!E17/'Income Statement'!E3</f>
        <v>0.17960513584256649</v>
      </c>
      <c r="F3" s="22">
        <f>'Income Statement'!F17/'Income Statement'!F3</f>
        <v>0.17428019455742944</v>
      </c>
    </row>
    <row r="4" spans="1:6" s="17" customFormat="1" ht="31.5" customHeight="1">
      <c r="A4" s="21" t="s">
        <v>252</v>
      </c>
      <c r="B4" s="22">
        <f>'Income Statement'!B33</f>
        <v>0.11271093938059007</v>
      </c>
      <c r="C4" s="22">
        <f>'Income Statement'!C33</f>
        <v>0.27827549933630336</v>
      </c>
      <c r="D4" s="22">
        <f>'Income Statement'!D33</f>
        <v>0.33279781310373591</v>
      </c>
      <c r="E4" s="22">
        <f>'Income Statement'!E33</f>
        <v>0.34742398658014062</v>
      </c>
      <c r="F4" s="22">
        <f>'Income Statement'!F33</f>
        <v>0.35267089134144003</v>
      </c>
    </row>
    <row r="5" spans="1:6" s="17" customFormat="1" ht="31.5" customHeight="1">
      <c r="A5" s="21" t="s">
        <v>253</v>
      </c>
      <c r="B5" s="23">
        <f>SUM('AR &amp; AP'!B11:M11)/'Balance Sheet'!B10</f>
        <v>5.2020703629437577</v>
      </c>
      <c r="C5" s="23">
        <f>SUM('AR &amp; AP'!N11:Y11)/'Balance Sheet'!C10</f>
        <v>3.9259843360498476</v>
      </c>
      <c r="D5" s="23">
        <f>SUM('AR &amp; AP'!Z11:AK11)/'Balance Sheet'!D10</f>
        <v>4.7666999654560049</v>
      </c>
      <c r="E5" s="23">
        <f>SUM('AR &amp; AP'!AL11:AW11)/'Balance Sheet'!E10</f>
        <v>4.7666999654560049</v>
      </c>
      <c r="F5" s="23">
        <f t="array" ref="F5">SUM('AR &amp; AP'!AX11:BI11/'Balance Sheet'!F10)</f>
        <v>4.7666999654560023</v>
      </c>
    </row>
    <row r="6" spans="1:6" s="17" customFormat="1" ht="31.5" customHeight="1">
      <c r="A6" s="21" t="s">
        <v>254</v>
      </c>
      <c r="B6" s="24">
        <f>'Balance Sheet'!B18/'Balance Sheet'!B24</f>
        <v>0</v>
      </c>
      <c r="C6" s="24">
        <f>'Balance Sheet'!C18/'Balance Sheet'!C24</f>
        <v>0</v>
      </c>
      <c r="D6" s="24">
        <f>'Balance Sheet'!D18/'Balance Sheet'!D24</f>
        <v>0</v>
      </c>
      <c r="E6" s="24">
        <f>'Balance Sheet'!E18/'Balance Sheet'!E24</f>
        <v>0</v>
      </c>
      <c r="F6" s="24">
        <f>'Balance Sheet'!F18/'Balance Sheet'!F24</f>
        <v>0</v>
      </c>
    </row>
    <row r="7" spans="1:6" s="17" customFormat="1" ht="31.5" customHeight="1">
      <c r="A7" s="21" t="s">
        <v>255</v>
      </c>
      <c r="B7" s="25">
        <f>'Balance Sheet'!B13-'Balance Sheet'!B18</f>
        <v>10419894.208194526</v>
      </c>
      <c r="C7" s="25">
        <f>'Balance Sheet'!C13-'Balance Sheet'!C18</f>
        <v>13542223.471975768</v>
      </c>
      <c r="D7" s="25">
        <f>'Balance Sheet'!D13-'Balance Sheet'!D18</f>
        <v>21868733.086542532</v>
      </c>
      <c r="E7" s="25">
        <f>'Balance Sheet'!E13-'Balance Sheet'!E18</f>
        <v>37479128.800627582</v>
      </c>
      <c r="F7" s="25">
        <f>'Balance Sheet'!F13-'Balance Sheet'!F18</f>
        <v>65936535.276465088</v>
      </c>
    </row>
    <row r="8" spans="1:6" s="17" customFormat="1" ht="31.5" customHeight="1">
      <c r="A8" s="21" t="s">
        <v>256</v>
      </c>
      <c r="B8" s="22">
        <f>'Income Statement'!B31/SUM('Balance Sheet'!B20:B22)</f>
        <v>4.0297358092590732E-2</v>
      </c>
      <c r="C8" s="22">
        <f>'Income Statement'!C31/SUM('Balance Sheet'!C20:C22)</f>
        <v>0.23056252691757614</v>
      </c>
      <c r="D8" s="22">
        <f>'Income Statement'!D31/SUM('Balance Sheet'!D20:D22)</f>
        <v>0.38074951949048574</v>
      </c>
      <c r="E8" s="22">
        <f>'Income Statement'!E31/SUM('Balance Sheet'!E20:E22)</f>
        <v>0.4165090335243774</v>
      </c>
      <c r="F8" s="22">
        <f>'Income Statement'!F31/SUM('Balance Sheet'!F20:F22)</f>
        <v>0.43158783452176447</v>
      </c>
    </row>
    <row r="9" spans="1:6" s="17" customFormat="1" ht="31.5" customHeight="1">
      <c r="A9" s="21" t="s">
        <v>257</v>
      </c>
      <c r="B9" s="22">
        <f>'Income Statement'!B31/'Balance Sheet'!B13</f>
        <v>4.0297358092590739E-2</v>
      </c>
      <c r="C9" s="22">
        <f>'Income Statement'!C31/'Balance Sheet'!C13</f>
        <v>0.23056252691757625</v>
      </c>
      <c r="D9" s="22">
        <f>'Income Statement'!D31/'Balance Sheet'!D13</f>
        <v>0.38074951949048569</v>
      </c>
      <c r="E9" s="22">
        <f>'Income Statement'!E31/'Balance Sheet'!E13</f>
        <v>0.4165090335243774</v>
      </c>
      <c r="F9" s="22">
        <f>'Income Statement'!F31/'Balance Sheet'!F13</f>
        <v>0.43158783452176441</v>
      </c>
    </row>
    <row r="10" spans="1:6" s="17" customFormat="1" ht="31.5" customHeight="1">
      <c r="A10" s="21" t="s">
        <v>258</v>
      </c>
      <c r="B10" s="22">
        <f>'Income Statement'!B31/'Use of Proceeds'!$B$20</f>
        <v>4.19894208194527E-2</v>
      </c>
      <c r="C10" s="22">
        <f>'Income Statement'!C31/'Use of Proceeds'!$B$20</f>
        <v>0.31223292637812455</v>
      </c>
      <c r="D10" s="22">
        <f>'Income Statement'!D31/'Use of Proceeds'!$B$20</f>
        <v>0.8326509614566755</v>
      </c>
      <c r="E10" s="22">
        <f>'Income Statement'!E31/'Use of Proceeds'!$B$20</f>
        <v>1.5610395714085052</v>
      </c>
      <c r="F10" s="22">
        <f>'Income Statement'!F31/'Use of Proceeds'!$B$20</f>
        <v>2.8457406475837494</v>
      </c>
    </row>
    <row r="11" spans="1:6" s="17" customFormat="1" ht="31.5" customHeight="1">
      <c r="A11" s="21" t="s">
        <v>259</v>
      </c>
      <c r="B11" s="26">
        <f>'Income Statement'!B3/'Balance Sheet'!B13</f>
        <v>0.35752836693622958</v>
      </c>
      <c r="C11" s="26">
        <f>'Income Statement'!C3/'Balance Sheet'!C13</f>
        <v>0.82854051997921419</v>
      </c>
      <c r="D11" s="26">
        <f>'Income Statement'!D3/'Balance Sheet'!D13</f>
        <v>1.144086603032463</v>
      </c>
      <c r="E11" s="26">
        <f>'Income Statement'!E3/'Balance Sheet'!E13</f>
        <v>1.1988493875286899</v>
      </c>
      <c r="F11" s="26">
        <f>'Income Statement'!F3/'Balance Sheet'!F13</f>
        <v>1.2237693700212999</v>
      </c>
    </row>
    <row r="12" spans="1:6" s="17" customFormat="1" ht="31.5" customHeight="1">
      <c r="A12" s="21" t="s">
        <v>260</v>
      </c>
      <c r="B12" s="22">
        <v>0</v>
      </c>
      <c r="C12" s="22">
        <f>'Income Statement'!C3/'Income Statement'!B3-1</f>
        <v>2.0118262483660199</v>
      </c>
      <c r="D12" s="22">
        <f>'Income Statement'!D3/'Income Statement'!C3-1</f>
        <v>1.229866152510362</v>
      </c>
      <c r="E12" s="22">
        <f>'Income Statement'!E3/'Income Statement'!D3-1</f>
        <v>0.79585632602213008</v>
      </c>
      <c r="F12" s="22">
        <f>'Income Statement'!F3/'Income Statement'!E3-1</f>
        <v>0.79585632602212986</v>
      </c>
    </row>
    <row r="13" spans="1:6" s="17" customFormat="1" ht="31.5" customHeight="1">
      <c r="A13" s="21" t="s">
        <v>261</v>
      </c>
      <c r="B13" s="22">
        <v>0</v>
      </c>
      <c r="C13" s="22">
        <f>'Income Statement'!C17/'Income Statement'!B17-1</f>
        <v>0.58227597226441419</v>
      </c>
      <c r="D13" s="22">
        <f>'Income Statement'!D17/'Income Statement'!C17-1</f>
        <v>0.69052388553095945</v>
      </c>
      <c r="E13" s="22">
        <f>'Income Statement'!E17/'Income Statement'!D17-1</f>
        <v>0.64770036344912074</v>
      </c>
      <c r="F13" s="22">
        <f>'Income Statement'!F17/'Income Statement'!E17-1</f>
        <v>0.74261269550038289</v>
      </c>
    </row>
    <row r="14" spans="1:6" s="17" customFormat="1" ht="31.5" customHeight="1">
      <c r="A14" s="21" t="s">
        <v>262</v>
      </c>
      <c r="B14" s="22">
        <v>0</v>
      </c>
      <c r="C14" s="22">
        <f>'Income Statement'!C31/'Income Statement'!B31-1</f>
        <v>6.4359903110041108</v>
      </c>
      <c r="D14" s="22">
        <f>'Income Statement'!D31/'Income Statement'!C31-1</f>
        <v>1.6667621865360451</v>
      </c>
      <c r="E14" s="22">
        <f>'Income Statement'!E31/'Income Statement'!D31-1</f>
        <v>0.87478264443189424</v>
      </c>
      <c r="F14" s="22">
        <f>'Income Statement'!F31/'Income Statement'!E31-1</f>
        <v>0.82297790504828505</v>
      </c>
    </row>
    <row r="15" spans="1:6" s="17" customFormat="1" ht="31.5" customHeight="1">
      <c r="A15" s="21" t="s">
        <v>237</v>
      </c>
      <c r="B15" s="25">
        <f>'Equity Valuations'!D20</f>
        <v>553394.20819452708</v>
      </c>
      <c r="C15" s="25">
        <f>'Equity Valuations'!E20</f>
        <v>3255829.2637812458</v>
      </c>
      <c r="D15" s="25">
        <f>'Equity Valuations'!F20</f>
        <v>8460009.6145667545</v>
      </c>
      <c r="E15" s="25">
        <f>'Equity Valuations'!G20</f>
        <v>15743895.714085052</v>
      </c>
      <c r="F15" s="25">
        <f>'Equity Valuations'!H20</f>
        <v>28590906.475837495</v>
      </c>
    </row>
  </sheetData>
  <pageMargins left="0.7" right="0.7" top="0.75" bottom="0.75" header="0.3" footer="0.3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1"/>
  <dimension ref="A1"/>
  <sheetViews>
    <sheetView showGridLines="0" zoomScale="70" zoomScaleNormal="70" workbookViewId="0"/>
  </sheetViews>
  <sheetFormatPr defaultColWidth="9.109375" defaultRowHeight="15.6"/>
  <cols>
    <col min="1" max="10" width="9.109375" style="16"/>
    <col min="11" max="11" width="8.88671875" style="16"/>
    <col min="12" max="21" width="9.109375" style="16"/>
    <col min="22" max="22" width="8.88671875" style="16"/>
    <col min="23" max="16384" width="9.109375" style="16"/>
  </cols>
  <sheetData/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P33"/>
  <sheetViews>
    <sheetView showGridLines="0" zoomScale="85" zoomScaleNormal="85" workbookViewId="0"/>
  </sheetViews>
  <sheetFormatPr defaultColWidth="9.109375" defaultRowHeight="15" customHeight="1" zeroHeight="1"/>
  <cols>
    <col min="1" max="1" width="9.109375" style="1"/>
    <col min="2" max="2" width="13.5546875" style="2" customWidth="1"/>
    <col min="3" max="7" width="9.109375" style="3"/>
    <col min="8" max="8" width="0.33203125" style="3" customWidth="1"/>
    <col min="9" max="9" width="12.44140625" style="1" customWidth="1"/>
    <col min="10" max="10" width="13.6640625" style="2" customWidth="1"/>
    <col min="11" max="15" width="9.109375" style="3"/>
    <col min="16" max="16" width="0.88671875" style="3" customWidth="1"/>
    <col min="17" max="17" width="9.109375" style="3"/>
    <col min="18" max="18" width="21" style="3" customWidth="1"/>
    <col min="19" max="16384" width="9.109375" style="3"/>
  </cols>
  <sheetData>
    <row r="1" spans="1:16" customFormat="1" ht="23.4">
      <c r="A1" s="4"/>
      <c r="B1" s="5"/>
      <c r="C1" s="4"/>
      <c r="D1" s="4"/>
      <c r="E1" s="4"/>
      <c r="F1" s="4"/>
      <c r="G1" s="4"/>
      <c r="H1" s="4"/>
      <c r="I1" s="4"/>
      <c r="J1" s="5"/>
      <c r="K1" s="4"/>
      <c r="L1" s="4"/>
      <c r="M1" s="4"/>
      <c r="N1" s="4"/>
      <c r="O1" s="4"/>
      <c r="P1" s="15"/>
    </row>
    <row r="2" spans="1:16" customFormat="1" ht="4.5" customHeight="1">
      <c r="A2" s="6"/>
      <c r="B2" s="7"/>
      <c r="I2" s="6"/>
      <c r="J2" s="7"/>
      <c r="P2" s="14"/>
    </row>
    <row r="3" spans="1:16" customFormat="1" ht="14.4">
      <c r="A3" s="8" t="s">
        <v>263</v>
      </c>
      <c r="B3" s="9" t="s">
        <v>264</v>
      </c>
      <c r="I3" s="8" t="s">
        <v>263</v>
      </c>
      <c r="J3" s="9" t="s">
        <v>264</v>
      </c>
      <c r="P3" s="14"/>
    </row>
    <row r="4" spans="1:16" customFormat="1" ht="14.4">
      <c r="A4" s="8" t="str">
        <f>'Income Statement'!$B$2</f>
        <v>Year 1</v>
      </c>
      <c r="B4" s="9">
        <f>'Income Statement'!B3</f>
        <v>3725407.7599040661</v>
      </c>
      <c r="I4" s="8" t="str">
        <f>'Income Statement'!$B$2</f>
        <v>Year 1</v>
      </c>
      <c r="J4" s="9">
        <v>0</v>
      </c>
      <c r="P4" s="14"/>
    </row>
    <row r="5" spans="1:16" customFormat="1" ht="14.4">
      <c r="A5" s="8" t="str">
        <f>'Income Statement'!$C$2</f>
        <v>Year 2</v>
      </c>
      <c r="B5" s="9">
        <f>'Income Statement'!C3</f>
        <v>11220280.877145521</v>
      </c>
      <c r="I5" s="8" t="str">
        <f>'Income Statement'!$C$2</f>
        <v>Year 2</v>
      </c>
      <c r="J5" s="9">
        <v>0</v>
      </c>
      <c r="P5" s="14"/>
    </row>
    <row r="6" spans="1:16" customFormat="1" ht="14.4">
      <c r="A6" s="8" t="str">
        <f>'Income Statement'!$D$2</f>
        <v>Year 3</v>
      </c>
      <c r="B6" s="9">
        <f>'Income Statement'!D3</f>
        <v>25019724.549606074</v>
      </c>
      <c r="I6" s="8" t="str">
        <f>'Income Statement'!$D$2</f>
        <v>Year 3</v>
      </c>
      <c r="J6" s="9">
        <v>0</v>
      </c>
      <c r="P6" s="14"/>
    </row>
    <row r="7" spans="1:16" customFormat="1" ht="14.4">
      <c r="A7" s="8" t="str">
        <f>'Income Statement'!$E$2</f>
        <v>Year 4</v>
      </c>
      <c r="B7" s="9">
        <f>'Income Statement'!E3</f>
        <v>44931830.607741259</v>
      </c>
      <c r="I7" s="8" t="str">
        <f>'Income Statement'!$E$2</f>
        <v>Year 4</v>
      </c>
      <c r="J7" s="9">
        <v>0</v>
      </c>
      <c r="P7" s="14"/>
    </row>
    <row r="8" spans="1:16" customFormat="1" ht="14.4">
      <c r="A8" s="8" t="str">
        <f>'Income Statement'!$F$2</f>
        <v>Year 5</v>
      </c>
      <c r="B8" s="9">
        <f>'Income Statement'!F3</f>
        <v>80691112.236666903</v>
      </c>
      <c r="I8" s="8" t="str">
        <f>'Income Statement'!$F$2</f>
        <v>Year 5</v>
      </c>
      <c r="J8" s="9">
        <v>0</v>
      </c>
      <c r="P8" s="14"/>
    </row>
    <row r="9" spans="1:16" customFormat="1" ht="21" customHeight="1">
      <c r="A9" s="6"/>
      <c r="B9" s="7"/>
      <c r="I9" s="6"/>
      <c r="J9" s="7"/>
      <c r="P9" s="14"/>
    </row>
    <row r="10" spans="1:16" customFormat="1" ht="14.4">
      <c r="A10" s="8" t="s">
        <v>263</v>
      </c>
      <c r="B10" s="9" t="s">
        <v>264</v>
      </c>
      <c r="I10" s="8" t="s">
        <v>263</v>
      </c>
      <c r="J10" s="9" t="s">
        <v>264</v>
      </c>
      <c r="P10" s="14"/>
    </row>
    <row r="11" spans="1:16" customFormat="1" ht="14.4">
      <c r="A11" s="8" t="str">
        <f>'Income Statement'!$B$2</f>
        <v>Year 1</v>
      </c>
      <c r="B11" s="9">
        <v>0</v>
      </c>
      <c r="I11" s="8" t="str">
        <f>'Income Statement'!$B$2</f>
        <v>Year 1</v>
      </c>
      <c r="J11" s="9">
        <f>'Income Statement'!B31</f>
        <v>419894.20819452702</v>
      </c>
      <c r="P11" s="14"/>
    </row>
    <row r="12" spans="1:16" customFormat="1" ht="14.4">
      <c r="A12" s="8" t="str">
        <f>'Income Statement'!$C$2</f>
        <v>Year 2</v>
      </c>
      <c r="B12" s="9">
        <v>0</v>
      </c>
      <c r="I12" s="8" t="str">
        <f>'Income Statement'!$C$2</f>
        <v>Year 2</v>
      </c>
      <c r="J12" s="9">
        <f>'Income Statement'!C31</f>
        <v>3122329.2637812458</v>
      </c>
      <c r="P12" s="14"/>
    </row>
    <row r="13" spans="1:16" customFormat="1" ht="14.4">
      <c r="A13" s="8" t="str">
        <f>'Income Statement'!$D$2</f>
        <v>Year 3</v>
      </c>
      <c r="B13" s="9">
        <v>0</v>
      </c>
      <c r="I13" s="8" t="str">
        <f>'Income Statement'!$D$2</f>
        <v>Year 3</v>
      </c>
      <c r="J13" s="9">
        <f>'Income Statement'!D31</f>
        <v>8326509.6145667545</v>
      </c>
      <c r="P13" s="14"/>
    </row>
    <row r="14" spans="1:16" customFormat="1" ht="14.4">
      <c r="A14" s="8" t="str">
        <f>'Income Statement'!$E$2</f>
        <v>Year 4</v>
      </c>
      <c r="B14" s="9">
        <v>0</v>
      </c>
      <c r="I14" s="8" t="str">
        <f>'Income Statement'!$E$2</f>
        <v>Year 4</v>
      </c>
      <c r="J14" s="9">
        <f>'Income Statement'!E31</f>
        <v>15610395.714085052</v>
      </c>
      <c r="P14" s="14"/>
    </row>
    <row r="15" spans="1:16" customFormat="1" ht="14.4">
      <c r="A15" s="8" t="str">
        <f>'Income Statement'!$F$2</f>
        <v>Year 5</v>
      </c>
      <c r="B15" s="9">
        <v>0</v>
      </c>
      <c r="I15" s="8" t="str">
        <f>'Income Statement'!$F$2</f>
        <v>Year 5</v>
      </c>
      <c r="J15" s="9">
        <f>'Income Statement'!F31</f>
        <v>28457406.475837495</v>
      </c>
      <c r="P15" s="14"/>
    </row>
    <row r="16" spans="1:16" customFormat="1" ht="21" customHeight="1">
      <c r="A16" s="10"/>
      <c r="B16" s="11"/>
      <c r="I16" s="10"/>
      <c r="J16" s="11"/>
      <c r="P16" s="14"/>
    </row>
    <row r="17" spans="1:16" customFormat="1" ht="14.4">
      <c r="A17" s="8" t="s">
        <v>263</v>
      </c>
      <c r="B17" s="9" t="s">
        <v>264</v>
      </c>
      <c r="I17" s="8" t="s">
        <v>263</v>
      </c>
      <c r="J17" s="9" t="s">
        <v>264</v>
      </c>
      <c r="P17" s="14"/>
    </row>
    <row r="18" spans="1:16" customFormat="1" ht="14.4">
      <c r="A18" s="8" t="str">
        <f>'Income Statement'!$B$2</f>
        <v>Year 1</v>
      </c>
      <c r="B18" s="9">
        <f>'Balance Sheet'!B24</f>
        <v>10419894.208194528</v>
      </c>
      <c r="I18" s="8" t="str">
        <f>'Income Statement'!$B$2</f>
        <v>Year 1</v>
      </c>
      <c r="J18" s="9">
        <v>19088210</v>
      </c>
      <c r="P18" s="14"/>
    </row>
    <row r="19" spans="1:16" customFormat="1" ht="14.4">
      <c r="A19" s="8" t="str">
        <f>'Income Statement'!$C$2</f>
        <v>Year 2</v>
      </c>
      <c r="B19" s="9">
        <f>'Balance Sheet'!C24</f>
        <v>13542223.471975774</v>
      </c>
      <c r="I19" s="8" t="str">
        <f>'Income Statement'!$C$2</f>
        <v>Year 2</v>
      </c>
      <c r="J19" s="9">
        <v>29429105</v>
      </c>
      <c r="P19" s="14"/>
    </row>
    <row r="20" spans="1:16" customFormat="1" ht="14.4">
      <c r="A20" s="8" t="str">
        <f>'Income Statement'!$D$2</f>
        <v>Year 3</v>
      </c>
      <c r="B20" s="9">
        <f>'Balance Sheet'!D24</f>
        <v>21868733.086542528</v>
      </c>
      <c r="I20" s="8" t="str">
        <f>'Income Statement'!$D$2</f>
        <v>Year 3</v>
      </c>
      <c r="J20" s="9">
        <v>43281897</v>
      </c>
      <c r="P20" s="14"/>
    </row>
    <row r="21" spans="1:16" customFormat="1" ht="14.4">
      <c r="A21" s="8" t="str">
        <f>'Income Statement'!$E$2</f>
        <v>Year 4</v>
      </c>
      <c r="B21" s="9">
        <f>'Balance Sheet'!E24</f>
        <v>37479128.800627582</v>
      </c>
      <c r="I21" s="8" t="str">
        <f>'Income Statement'!$E$2</f>
        <v>Year 4</v>
      </c>
      <c r="J21" s="9">
        <v>61546332</v>
      </c>
      <c r="P21" s="14"/>
    </row>
    <row r="22" spans="1:16" customFormat="1" ht="14.4">
      <c r="A22" s="8" t="str">
        <f>'Income Statement'!$F$2</f>
        <v>Year 5</v>
      </c>
      <c r="B22" s="9">
        <f>'Balance Sheet'!F24</f>
        <v>65936535.276465073</v>
      </c>
      <c r="I22" s="8" t="str">
        <f>'Income Statement'!$F$2</f>
        <v>Year 5</v>
      </c>
      <c r="J22" s="9">
        <v>85313413</v>
      </c>
      <c r="P22" s="14"/>
    </row>
    <row r="23" spans="1:16" customFormat="1" ht="5.25" customHeight="1">
      <c r="A23" s="6"/>
      <c r="B23" s="7"/>
      <c r="I23" s="6"/>
      <c r="J23" s="7"/>
      <c r="P23" s="14"/>
    </row>
    <row r="24" spans="1:16" customFormat="1" ht="14.4">
      <c r="A24" s="12"/>
      <c r="B24" s="13"/>
      <c r="C24" s="14"/>
      <c r="D24" s="14"/>
      <c r="E24" s="14"/>
      <c r="F24" s="14"/>
      <c r="G24" s="14"/>
      <c r="H24" s="14"/>
      <c r="I24" s="12"/>
      <c r="J24" s="13"/>
      <c r="K24" s="14"/>
      <c r="L24" s="14"/>
      <c r="M24" s="14"/>
      <c r="N24" s="14"/>
      <c r="O24" s="14"/>
      <c r="P24" s="14"/>
    </row>
    <row r="25" spans="1:16" ht="15" customHeight="1"/>
    <row r="26" spans="1:16" ht="15" customHeight="1"/>
    <row r="27" spans="1:16" ht="15" customHeight="1"/>
    <row r="28" spans="1:16" ht="15" customHeight="1"/>
    <row r="29" spans="1:16" ht="15" customHeight="1"/>
    <row r="30" spans="1:16" ht="15" customHeight="1"/>
    <row r="31" spans="1:16" ht="15" customHeight="1"/>
    <row r="32" spans="1:16" ht="15" customHeight="1"/>
    <row r="33" ht="15" customHeight="1"/>
  </sheetData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Dashboard</vt:lpstr>
      <vt:lpstr>Assumptions</vt:lpstr>
      <vt:lpstr>AR &amp; AP</vt:lpstr>
      <vt:lpstr>Depreciation</vt:lpstr>
      <vt:lpstr>Payroll</vt:lpstr>
      <vt:lpstr>Loan Schedule</vt:lpstr>
      <vt:lpstr>Use of Proceeds</vt:lpstr>
      <vt:lpstr>Expense Sheet</vt:lpstr>
      <vt:lpstr>Revenue Forecasts</vt:lpstr>
      <vt:lpstr>Income Statement</vt:lpstr>
      <vt:lpstr>Balance Sheet</vt:lpstr>
      <vt:lpstr>Break Even Analysis</vt:lpstr>
      <vt:lpstr>Cash Flows</vt:lpstr>
      <vt:lpstr>Monthly Income Statement </vt:lpstr>
      <vt:lpstr>Monthly Balance Sheet</vt:lpstr>
      <vt:lpstr>Monthly Cash Flows</vt:lpstr>
      <vt:lpstr>Equity Valuations</vt:lpstr>
      <vt:lpstr>Sensitivity Analysis</vt:lpstr>
      <vt:lpstr>Ratio Analysis</vt:lpstr>
      <vt:lpstr>Graphs</vt:lpstr>
      <vt:lpstr>Financial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arfeen</dc:creator>
  <cp:lastModifiedBy>Ahsan Sohail</cp:lastModifiedBy>
  <cp:lastPrinted>2023-05-31T13:34:00Z</cp:lastPrinted>
  <dcterms:created xsi:type="dcterms:W3CDTF">2016-01-04T11:20:00Z</dcterms:created>
  <dcterms:modified xsi:type="dcterms:W3CDTF">2025-03-14T21:26:27Z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5E3E5AE02D844821A54DA09B58C49FCD_12</vt:lpwstr>
  </property>
  <property fmtid="{D5CDD505-2E9C-101B-9397-08002B2CF9AE}" pid="3" name="KSOProductBuildVer">
    <vt:lpwstr>1033-12.2.0.13359</vt:lpwstr>
  </property>
</Properties>
</file>